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48" windowWidth="14400" windowHeight="9492" tabRatio="736" activeTab="4"/>
  </bookViews>
  <sheets>
    <sheet name="Updates " sheetId="1" r:id="rId1"/>
    <sheet name="User Guidance" sheetId="2" r:id="rId2"/>
    <sheet name="Picklist" sheetId="3" r:id="rId3"/>
    <sheet name="Standard Phrases" sheetId="4" r:id="rId4"/>
    <sheet name="CSA" sheetId="5" r:id="rId5"/>
    <sheet name="Narrative" sheetId="6" r:id="rId6"/>
    <sheet name="References" sheetId="7" r:id="rId7"/>
    <sheet name="OCpopulating" sheetId="8" r:id="rId8"/>
    <sheet name="RMMpopulating" sheetId="9" r:id="rId9"/>
  </sheets>
  <externalReferences>
    <externalReference r:id="rId12"/>
  </externalReferences>
  <definedNames>
    <definedName name="ACH" localSheetId="7">'[1]Picklist'!$E$2:$E$3,'[1]Picklist'!$E$5</definedName>
    <definedName name="ACH" localSheetId="8">'[1]Picklist'!$E$2:$E$3,'[1]Picklist'!$E$5</definedName>
    <definedName name="ACH">'Picklist'!$E$2:$E$3,'Picklist'!$E$4</definedName>
    <definedName name="Freqbands">'Picklist'!$P$2:$P$5</definedName>
    <definedName name="GE" localSheetId="7">'[1]Picklist'!$K$2</definedName>
    <definedName name="GE" localSheetId="8">'[1]Picklist'!$K$2</definedName>
    <definedName name="GE">'Picklist'!$K$2</definedName>
    <definedName name="location" localSheetId="7">'[1]Picklist'!$C$2:$C$6</definedName>
    <definedName name="location" localSheetId="8">'[1]Picklist'!$C$2:$C$6</definedName>
    <definedName name="location">'Picklist'!$C$2:$C$5</definedName>
    <definedName name="PCs" localSheetId="7">'[1]Picklist'!$A$2:$A$43</definedName>
    <definedName name="PCs" localSheetId="8">'[1]Picklist'!$A$2:$A$43</definedName>
    <definedName name="PCs">'Picklist'!$A$2:$A$43</definedName>
    <definedName name="_xlnm.Print_Area" localSheetId="4">'CSA'!$BD$34:$BK$39</definedName>
    <definedName name="_xlnm.Print_Area" localSheetId="5">'Narrative'!$A$1:$D$116</definedName>
    <definedName name="_xlnm.Print_Titles" localSheetId="4">'CSA'!$D:$M,'CSA'!$9:$11</definedName>
    <definedName name="RV" localSheetId="7">'[1]Picklist'!$H$2,'[1]Picklist'!$H$5:$H$6</definedName>
    <definedName name="RV" localSheetId="8">'[1]Picklist'!$H$2,'[1]Picklist'!$H$5:$H$6</definedName>
    <definedName name="RV">'Picklist'!$H$2,'Picklist'!$H$4:$H$5</definedName>
    <definedName name="TRAlocation" localSheetId="7">'[1]Picklist'!$C$2,'[1]Picklist'!$C$5,'[1]Picklist'!$C$6</definedName>
    <definedName name="TRAlocation" localSheetId="8">'[1]Picklist'!$C$2,'[1]Picklist'!$C$5,'[1]Picklist'!$C$6</definedName>
    <definedName name="TRAlocation">'Picklist'!$C$2,'Picklist'!$C$4,'Picklist'!$C$5</definedName>
  </definedNames>
  <calcPr fullCalcOnLoad="1"/>
</workbook>
</file>

<file path=xl/comments3.xml><?xml version="1.0" encoding="utf-8"?>
<comments xmlns="http://schemas.openxmlformats.org/spreadsheetml/2006/main">
  <authors>
    <author>Author</author>
  </authors>
  <commentList>
    <comment ref="O1" authorId="0">
      <text>
        <r>
          <rPr>
            <b/>
            <sz val="9"/>
            <rFont val="Tahoma"/>
            <family val="2"/>
          </rPr>
          <t>Author:</t>
        </r>
        <r>
          <rPr>
            <sz val="9"/>
            <rFont val="Tahoma"/>
            <family val="2"/>
          </rPr>
          <t xml:space="preserve">
consistent with the TRAv3.1</t>
        </r>
      </text>
    </comment>
  </commentList>
</comments>
</file>

<file path=xl/comments5.xml><?xml version="1.0" encoding="utf-8"?>
<comments xmlns="http://schemas.openxmlformats.org/spreadsheetml/2006/main">
  <authors>
    <author>Author</author>
    <author>Qian, Hua</author>
  </authors>
  <commentList>
    <comment ref="CT11" authorId="0">
      <text>
        <r>
          <rPr>
            <b/>
            <sz val="9"/>
            <rFont val="Tahoma"/>
            <family val="0"/>
          </rPr>
          <t>Author:</t>
        </r>
        <r>
          <rPr>
            <sz val="9"/>
            <rFont val="Tahoma"/>
            <family val="0"/>
          </rPr>
          <t xml:space="preserve">
as a placeholder. Has not been implemented.</t>
        </r>
      </text>
    </comment>
    <comment ref="DA11" authorId="1">
      <text>
        <r>
          <rPr>
            <b/>
            <sz val="9"/>
            <rFont val="Tahoma"/>
            <family val="0"/>
          </rPr>
          <t>Qian, Hua:</t>
        </r>
        <r>
          <rPr>
            <sz val="9"/>
            <rFont val="Tahoma"/>
            <family val="0"/>
          </rPr>
          <t xml:space="preserve">
data validation has been removed as room volume is scenario specific and is not a modifier</t>
        </r>
      </text>
    </comment>
    <comment ref="CV11" authorId="1">
      <text>
        <r>
          <rPr>
            <b/>
            <sz val="9"/>
            <rFont val="Tahoma"/>
            <family val="0"/>
          </rPr>
          <t>Qian, Hua:</t>
        </r>
        <r>
          <rPr>
            <sz val="9"/>
            <rFont val="Tahoma"/>
            <family val="0"/>
          </rPr>
          <t xml:space="preserve">
not a modifier</t>
        </r>
      </text>
    </comment>
  </commentList>
</comments>
</file>

<file path=xl/sharedStrings.xml><?xml version="1.0" encoding="utf-8"?>
<sst xmlns="http://schemas.openxmlformats.org/spreadsheetml/2006/main" count="1469" uniqueCount="671">
  <si>
    <t>4 L: Conv from L to g based upon density for mogas = 750 kg/m3.</t>
  </si>
  <si>
    <t>expect low amount (5 ml max) spilled during pouring in residence</t>
  </si>
  <si>
    <t>Liquid (subcategories added): Home space heater fuel</t>
  </si>
  <si>
    <r>
      <t xml:space="preserve">Unless otherwise stated, covers concentrations up to </t>
    </r>
    <r>
      <rPr>
        <sz val="10"/>
        <color indexed="10"/>
        <rFont val="Arial"/>
        <family val="2"/>
      </rPr>
      <t>a</t>
    </r>
    <r>
      <rPr>
        <sz val="10"/>
        <rFont val="Arial"/>
        <family val="2"/>
      </rPr>
      <t xml:space="preserve">% [ConsOC1]; For each use event, covers use amounts up to </t>
    </r>
    <r>
      <rPr>
        <sz val="10"/>
        <color indexed="10"/>
        <rFont val="Arial"/>
        <family val="2"/>
      </rPr>
      <t xml:space="preserve">b </t>
    </r>
    <r>
      <rPr>
        <sz val="10"/>
        <rFont val="Arial"/>
        <family val="2"/>
      </rPr>
      <t>g [ConsOC2];...</t>
    </r>
  </si>
  <si>
    <t>Rows 3-5:  data entry, common TRA defaults</t>
  </si>
  <si>
    <t>Rows 13 and higher - TRA, TRA+ and OC and RMM (if needed) conditions by combination of PC and subcategory</t>
  </si>
  <si>
    <t>Note, this tool is intended to provide a basis for applying Tier 1 and 1.5 approaches.  In doing so, it allows for the ready prioritization of where additional Tier 2 approaches would be appropriate.   Such Tier 2 approaches may be as higher tier tools or further enhancement of default factors [utilizing the existing R15 algorithms].  But because these considerations are likely to be specific to certain conditions of use, then the recommendation is that these aspects are addressed at a sector/consortia level. Such refinements require access to appropriate expert judgment.  Where indicative Tier 2 values and refined defaults are provided these should be verified for their continuing applicability.</t>
  </si>
  <si>
    <t>Predicted Systemic Dermal Exposure (mg/kg/d)</t>
  </si>
  <si>
    <t>Predicted Systemic Oral Exposure (mg/kg/d)</t>
  </si>
  <si>
    <t>Predicted Systemic Inhalation Exposure (mg/m3)</t>
  </si>
  <si>
    <t>References</t>
  </si>
  <si>
    <t>default for garage from RIVM general fact sheet</t>
  </si>
  <si>
    <t>default for room with window open based on RIVM general fact sheet</t>
  </si>
  <si>
    <t>default for unspecified rooms based on RIVM general fact sheet</t>
  </si>
  <si>
    <t>deducted for near field exposure from Stoffenmanager</t>
  </si>
  <si>
    <r>
      <t>PC9a</t>
    </r>
    <r>
      <rPr>
        <sz val="10"/>
        <rFont val="Tahoma"/>
        <family val="2"/>
      </rPr>
      <t>:Coatings, paints, thinners,paint removers</t>
    </r>
  </si>
  <si>
    <t>PC9a:Coatings, paints, thinners,paint removers</t>
  </si>
  <si>
    <t>Date</t>
  </si>
  <si>
    <t xml:space="preserve">For PC16_n: Heat transfer fluids, cellBB44 was missing a formula that prevents RMM from autopopulating for VP bands 1-10, 0.1 - 1, and &lt; 0.1 if the predicted dermal exposure is above the dermal DNEL. For these VP bands, RCRs &gt; 1 would still be indicated, but the tool would not automatically populate the RMM.
The problem was not found in the high VP band. This correction will only impact one GES use: functional fluid.
</t>
  </si>
  <si>
    <t>Description</t>
  </si>
  <si>
    <t>For PC18_n: Ink and toners, cells DD46, DG46, DH46, FH46, FK46, and FL46 are missing a formula. It will impact the RMM-based inhalation exposure estimate and its RCR when RMMs are from DNEL band 1 for high and medium VP worksheets.</t>
  </si>
  <si>
    <t xml:space="preserve">The cell B5 in 4 Vapor Pressure worksheets has been updated to be consistent with 4 Vapor pressure bands used in TRA. This change will only impact the substances with exact boundary vapor pressures. </t>
  </si>
  <si>
    <t xml:space="preserve">In user guidance worksheet, the "VP&gt;10Pa-high" in cell A7 has been changed to VP&gt;=10Pa-high, and " Note, saturated vapour concentration has been applied within the tool as an upper bound for all inhalation exposures." in cell A8 has been added. </t>
  </si>
  <si>
    <t>High: VP&gt;=10 Pa (instead of VP&gt;10Pa)</t>
  </si>
  <si>
    <t>4 Vapor Pressure Bands</t>
  </si>
  <si>
    <t>Medium: 1Pa&lt;=VP&lt;10Pa (instead of 1Pa&lt;VP&lt;=10Pa)</t>
  </si>
  <si>
    <t>Medium low: 0.1Pa&lt;=VP&lt;1Pa (instead of 0.1Pa&lt;VP&lt;=1Pa)</t>
  </si>
  <si>
    <t>Low: VP&lt;0.1Pa (instead of VP&lt;=0.1Pa)</t>
  </si>
  <si>
    <t>estimated as 10 times concentration used in ACC windscreen scenario</t>
  </si>
  <si>
    <t>Est. solvent concentration</t>
  </si>
  <si>
    <t>dermal transfer factor (up to I in AISE)</t>
  </si>
  <si>
    <t>Polishes, wax / cream (floor, furniture, shoes)</t>
  </si>
  <si>
    <r>
      <t xml:space="preserve">Polishes, </t>
    </r>
    <r>
      <rPr>
        <b/>
        <sz val="10"/>
        <rFont val="Tahoma"/>
        <family val="2"/>
      </rPr>
      <t>spray</t>
    </r>
    <r>
      <rPr>
        <sz val="10"/>
        <rFont val="Tahoma"/>
        <family val="2"/>
      </rPr>
      <t xml:space="preserve"> (furniture, shoes)</t>
    </r>
  </si>
  <si>
    <t>PC12:Fertilizers</t>
  </si>
  <si>
    <t>Lawn and garden preparations</t>
  </si>
  <si>
    <t>PC27_n: Plant protection products</t>
  </si>
  <si>
    <t>PC13:Fuels</t>
  </si>
  <si>
    <t>RIVM;  (however, est.  35.7 fingertips may be more realistic for an adhesive product)</t>
  </si>
  <si>
    <t>internet search indicates 50-200 square feet coverage per gallon for floor glue. for a 20 m3 room = 705 feet3, assuming 8' in height, gives a floor area of 88 square feet and would use at most 1.76 gallons (6390 grams); wall paper glue at 280 ft/gallon and assuming wall surface of 304 sq ft would be 1.1 gallons . Ref 3</t>
  </si>
  <si>
    <t>USEPA 2009 draft EFH indicates 75th percentile adhesive use/year is 3 oz; used this as consistent with spray glue can size of 4 oz and more than one use</t>
  </si>
  <si>
    <t>The 95th percentile for adhesive exposure time USEPA EFH 2009 draft Table 17-5</t>
  </si>
  <si>
    <t>RIVM - furniture cream polish</t>
  </si>
  <si>
    <t>AW</t>
  </si>
  <si>
    <t>AT</t>
  </si>
  <si>
    <t>Concentration (weight fraction)</t>
  </si>
  <si>
    <t>amount of use (g)</t>
  </si>
  <si>
    <t>Amount swallowed (g)</t>
  </si>
  <si>
    <t xml:space="preserve"> RCR  systemic (all routes)</t>
  </si>
  <si>
    <t xml:space="preserve">RCR systemic (inhalation based on mg/m3) </t>
  </si>
  <si>
    <t>case4:</t>
  </si>
  <si>
    <t>case5:</t>
  </si>
  <si>
    <t>case6:</t>
  </si>
  <si>
    <t>NULL</t>
  </si>
  <si>
    <t>case7:</t>
  </si>
  <si>
    <t>case8:</t>
  </si>
  <si>
    <t>Vapour pressure (Pa)</t>
  </si>
  <si>
    <r>
      <t xml:space="preserve">Cleaners, trigger </t>
    </r>
    <r>
      <rPr>
        <b/>
        <sz val="10"/>
        <color indexed="12"/>
        <rFont val="Arial"/>
        <family val="2"/>
      </rPr>
      <t>sprays</t>
    </r>
    <r>
      <rPr>
        <sz val="10"/>
        <color indexed="12"/>
        <rFont val="Arial"/>
        <family val="2"/>
      </rPr>
      <t xml:space="preserve"> (all purpose cleaners, sanitary products,  glass cleaners) </t>
    </r>
  </si>
  <si>
    <t>PC4:  ACC cites EU RA:  American Chemistry Council A Compendium of Scenarios Developed to Estimate Human Exposure to Chemical Substances- Prepared by Health Studies Management &amp; Consulting for the American Chemistry Council’s American Solvents Council.  Cites  Final Report - EU Risk Assessment: 2-(2-methoxyethoxy)Ethanol   
http://ecb.jrc.ec.europa.eu/DOCUMENTS/Existing-Chemicals/RISK_ASSESSMENT/REPORT/degmereport005.pdf</t>
  </si>
  <si>
    <t>EPA EFH 2009 furniture cream</t>
  </si>
  <si>
    <t>EFH 2009 75th percentile wood panel cleaner</t>
  </si>
  <si>
    <t>as above, although expect lower because spray</t>
  </si>
  <si>
    <t>EFH 2009, 75th percentile shoe polish</t>
  </si>
  <si>
    <t>EFH 2009 75th percentile spray shoe polish</t>
  </si>
  <si>
    <r>
      <t>PC4_n</t>
    </r>
    <r>
      <rPr>
        <sz val="10"/>
        <rFont val="Tahoma"/>
        <family val="2"/>
      </rPr>
      <t>:Anti-freeze and de-icing products</t>
    </r>
  </si>
  <si>
    <t>PC4_n:Anti-freeze and de-icing products</t>
  </si>
  <si>
    <t>TRA  default</t>
  </si>
  <si>
    <t>AB</t>
  </si>
  <si>
    <t>Operating Condition Standard Phrases</t>
  </si>
  <si>
    <t>ConsOC1</t>
  </si>
  <si>
    <t xml:space="preserve">Covers concentrations up to x%.  </t>
  </si>
  <si>
    <t>ConsOC2</t>
  </si>
  <si>
    <t xml:space="preserve">For each use event, covers use amounts up to x g .  </t>
  </si>
  <si>
    <t>ConsOC3</t>
  </si>
  <si>
    <t>ConsOC4</t>
  </si>
  <si>
    <t>ConsOC5</t>
  </si>
  <si>
    <t>Covers skin contact area up to x cm2 .</t>
  </si>
  <si>
    <t>ConsOC6</t>
  </si>
  <si>
    <t>ConsOC7</t>
  </si>
  <si>
    <t>ConsOC8</t>
  </si>
  <si>
    <t>Covers use under typical household ventilation.</t>
  </si>
  <si>
    <t>ConsOC9</t>
  </si>
  <si>
    <t>ConsOC10</t>
  </si>
  <si>
    <t>Covers use in room size of  x m3.</t>
  </si>
  <si>
    <t>ConsOC11</t>
  </si>
  <si>
    <t>Covers outdoor use.</t>
  </si>
  <si>
    <t>ConsOC12</t>
  </si>
  <si>
    <t>For each use event, assumes swallowed amount of x g.</t>
  </si>
  <si>
    <t>ConsOC13</t>
  </si>
  <si>
    <t>Covers exposure up to  x hours/event.</t>
  </si>
  <si>
    <t>ConsOC14</t>
  </si>
  <si>
    <t>Covers use at ambient temperatures.</t>
  </si>
  <si>
    <t>Risk Mitigation Measures Standard Phrases</t>
  </si>
  <si>
    <t>ConsRMM1</t>
  </si>
  <si>
    <t>ConsRMM2</t>
  </si>
  <si>
    <t>ConsRMM3</t>
  </si>
  <si>
    <t>ConsRMM4</t>
  </si>
  <si>
    <t>ConsRMM5</t>
  </si>
  <si>
    <t>ConsRMM6</t>
  </si>
  <si>
    <t>ConsRMM7</t>
  </si>
  <si>
    <t>ConsRMM8</t>
  </si>
  <si>
    <t>ConsRMM9</t>
  </si>
  <si>
    <t>ConsRMM10</t>
  </si>
  <si>
    <t>ConsRMM12</t>
  </si>
  <si>
    <t>ConsRMM13</t>
  </si>
  <si>
    <t>Air exchange rate</t>
  </si>
  <si>
    <t>EFC5</t>
  </si>
  <si>
    <t>RCR - Substance Specific  (dermal)</t>
  </si>
  <si>
    <t>RCR - Substance Specific  (oral)</t>
  </si>
  <si>
    <t>RCR - Substance Specific  (inhalation)</t>
  </si>
  <si>
    <t>RMM code</t>
  </si>
  <si>
    <t xml:space="preserve">Total RCR - Substance Specific  </t>
  </si>
  <si>
    <t>EFC6</t>
  </si>
  <si>
    <t>equals to indoor ventilation</t>
  </si>
  <si>
    <t>Operation Conditions (OCs)</t>
  </si>
  <si>
    <t>PCs</t>
  </si>
  <si>
    <t>Location</t>
  </si>
  <si>
    <t>equals to indoor typical</t>
  </si>
  <si>
    <t>location</t>
  </si>
  <si>
    <t>equals to indoor active ventilation</t>
  </si>
  <si>
    <r>
      <rPr>
        <b/>
        <sz val="10"/>
        <rFont val="Arial"/>
        <family val="2"/>
      </rPr>
      <t xml:space="preserve">BAND1: </t>
    </r>
    <r>
      <rPr>
        <sz val="10"/>
        <rFont val="Arial"/>
        <family val="2"/>
      </rPr>
      <t>Very Low: inhalation DNEL 0.5 - 5 mg/m3;  oral and dermal DNELs 0.1 - 1 mg/kg/day</t>
    </r>
  </si>
  <si>
    <r>
      <rPr>
        <b/>
        <sz val="10"/>
        <rFont val="Arial"/>
        <family val="2"/>
      </rPr>
      <t xml:space="preserve">BAND2: </t>
    </r>
    <r>
      <rPr>
        <sz val="10"/>
        <rFont val="Arial"/>
        <family val="2"/>
      </rPr>
      <t>Low: inhalation DNEL 5 - 25 mg/m3;  oral and dermal DNELs 1 - 5 mg/kg/day</t>
    </r>
  </si>
  <si>
    <r>
      <rPr>
        <b/>
        <sz val="10"/>
        <rFont val="Arial"/>
        <family val="2"/>
      </rPr>
      <t>BAND3:</t>
    </r>
    <r>
      <rPr>
        <sz val="10"/>
        <rFont val="Arial"/>
        <family val="2"/>
      </rPr>
      <t xml:space="preserve"> Medium: inhalation DNEL 25 - 100 mg/m3;  oral and dermal DNELs 5 -20mg/kg/day</t>
    </r>
  </si>
  <si>
    <r>
      <rPr>
        <b/>
        <sz val="10"/>
        <rFont val="Arial"/>
        <family val="2"/>
      </rPr>
      <t>BAND4:</t>
    </r>
    <r>
      <rPr>
        <sz val="10"/>
        <rFont val="Arial"/>
        <family val="2"/>
      </rPr>
      <t xml:space="preserve"> High: inhalation DNEL &gt;=100 mg/m3;  oral and dermal DNELs &gt;=20 mg/kg/day</t>
    </r>
  </si>
  <si>
    <t>[0.5, 5)</t>
  </si>
  <si>
    <t>[5, 25)</t>
  </si>
  <si>
    <t>[25, 100)</t>
  </si>
  <si>
    <t>&gt;=100</t>
  </si>
  <si>
    <t>[0.1, 1)</t>
  </si>
  <si>
    <t>[1, 5)</t>
  </si>
  <si>
    <t>[5, 20)</t>
  </si>
  <si>
    <t>&gt;=20</t>
  </si>
  <si>
    <t>dermal/ oral</t>
  </si>
  <si>
    <t>Band3 (Medium)</t>
  </si>
  <si>
    <t>Band1        (very low)</t>
  </si>
  <si>
    <t>Covers use in a one car garage (34 m3) under typical ventilation.</t>
  </si>
  <si>
    <t>ConsRMM14</t>
  </si>
  <si>
    <t>ConsOC15</t>
  </si>
  <si>
    <t>Avoid using in room with closed doors.</t>
  </si>
  <si>
    <t>Glove effiency</t>
  </si>
  <si>
    <t/>
  </si>
  <si>
    <t>Product is spray? (S)</t>
  </si>
  <si>
    <t>Liquid - subcategories added: Automotive Refuelling</t>
  </si>
  <si>
    <t>Liquid (subcategories added): Garden Equipment - Refueling</t>
  </si>
  <si>
    <t>Liquid - subcategories added: Scooter Refuelling</t>
  </si>
  <si>
    <t>Liquid - subcategories added: Garden Equipment - Use</t>
  </si>
  <si>
    <t>Liquid - subcategories added: Lamp oil</t>
  </si>
  <si>
    <t>est. as palm of one hand</t>
  </si>
  <si>
    <t>est. fuel tank size 50 L converted using gasoline density of 750 kg/m3</t>
  </si>
  <si>
    <t>est. fuel tank size 5 L converted using gasoline density of 750 kg/m3</t>
  </si>
  <si>
    <t>expect low % loss during refueling but more than for automotive</t>
  </si>
  <si>
    <t>based upon 1 hand</t>
  </si>
  <si>
    <t>Est. 2 hours per day</t>
  </si>
  <si>
    <t>est. as 1 per two weeks</t>
  </si>
  <si>
    <t>Est. half of each hand</t>
  </si>
  <si>
    <t>0.13L: Conv from L to g based upon density for mogas = 750 kg/m3.</t>
  </si>
  <si>
    <t>1 L: Conv from L to g based upon density for mogas = 750 kg/m3.</t>
  </si>
  <si>
    <t>3mins, 97th percentile-Vainiotalo et al. 1999</t>
  </si>
  <si>
    <t>2mins, Est. as shorter than vehicle</t>
  </si>
  <si>
    <t>Est. 2mins</t>
  </si>
  <si>
    <t>Est. 0.75 min</t>
  </si>
  <si>
    <t>OC code</t>
  </si>
  <si>
    <t>inhalation (mg/m3)</t>
  </si>
  <si>
    <t>dermal/ oral (mg/kg/day)</t>
  </si>
  <si>
    <t>PCS</t>
  </si>
  <si>
    <t>Subcategories</t>
  </si>
  <si>
    <t>User Input Table</t>
  </si>
  <si>
    <t>TIER1 Predicted Exposure - ECETOC TRA based on defaults</t>
  </si>
  <si>
    <t xml:space="preserve">Band2        (low) </t>
  </si>
  <si>
    <r>
      <t>Unless otherwise stated assumes use at ambient temperatures [ConsOC15]; assumes use in a 20 m</t>
    </r>
    <r>
      <rPr>
        <vertAlign val="superscript"/>
        <sz val="10"/>
        <rFont val="Arial"/>
        <family val="2"/>
      </rPr>
      <t>3</t>
    </r>
    <r>
      <rPr>
        <sz val="10"/>
        <rFont val="Arial"/>
        <family val="2"/>
      </rPr>
      <t xml:space="preserve"> room [ConsOC11]; assumes use with typical ventilation [ConsOC8].</t>
    </r>
  </si>
  <si>
    <t>expect low % loss during refueling due to evaporation /spill</t>
  </si>
  <si>
    <t>expect low % loss during equipment use</t>
  </si>
  <si>
    <t>Risk Characterization - including RMMs when needed (substance Specific)</t>
  </si>
  <si>
    <t>expect low loss but % increased because lower use volume</t>
  </si>
  <si>
    <t>TRA Tier 1+  Predicted Exposure - ECETOC TRA - refined estimates</t>
  </si>
  <si>
    <t>TRA Tier1+  Risk Characterization - refined estimates</t>
  </si>
  <si>
    <r>
      <t>PC8_n</t>
    </r>
    <r>
      <rPr>
        <sz val="10"/>
        <rFont val="Tahoma"/>
        <family val="2"/>
      </rPr>
      <t>: Biocidal products (excipient use only for solvent products)</t>
    </r>
  </si>
  <si>
    <t>PC8_n: Biocidal products (excipient use only for solvent products)</t>
  </si>
  <si>
    <t>Predicted Dermal Exposure, Daily (mg/kg/d)</t>
  </si>
  <si>
    <t>Predicted Dermal Exposure, Chronic (mg/kg/d)</t>
  </si>
  <si>
    <t>Predicted Dermal Exposure, Local (mg/cm2)</t>
  </si>
  <si>
    <t>Predicted Oral Exposure, daily (mg/kg/d)</t>
  </si>
  <si>
    <t>Predicted Oral Exposure, Chronic (mg/kg/d)</t>
  </si>
  <si>
    <t>Mean Inhalation Concentration (24hr TWA) on Day of Exposure (mg/m3)</t>
  </si>
  <si>
    <t>Mean Inhalation Concentration Yearly (mg/m3)</t>
  </si>
  <si>
    <r>
      <t>Mean Inhalation Event Concentration (mg/m</t>
    </r>
    <r>
      <rPr>
        <vertAlign val="superscript"/>
        <sz val="10"/>
        <rFont val="Arial"/>
        <family val="2"/>
      </rPr>
      <t>3</t>
    </r>
    <r>
      <rPr>
        <sz val="10"/>
        <rFont val="Arial"/>
        <family val="2"/>
      </rPr>
      <t>)</t>
    </r>
  </si>
  <si>
    <t xml:space="preserve">Use Dilution Factor </t>
  </si>
  <si>
    <t>Other spreadsheet capabilities built in but not currently used:    The ability to select glove use and specify an associated exposure reduction is built in but not currently used.</t>
  </si>
  <si>
    <t>For local inhalation DNELs, RCRs are calculated based upon the time weighted average for the duration of the scenario;  for systemic inhalation DNELs, RCRs are calculated based upon a 24-hour time weighted average to be consistent with the DNEL basis and also a chronic value considering frequency per year.  For products used daily, the day of use value = the chronic value.</t>
  </si>
  <si>
    <t>Indicator for Basis of Exposure Estimate</t>
  </si>
  <si>
    <t>Chronic Considering Yearly Use Frequency</t>
  </si>
  <si>
    <t>On Day of Use</t>
  </si>
  <si>
    <t xml:space="preserve">RCR systemic (24hr TWA inhalation mg/m3) </t>
  </si>
  <si>
    <t>Local Use</t>
  </si>
  <si>
    <t xml:space="preserve"> RCR systemic (dermal, daily, based on mg/kg/d))</t>
  </si>
  <si>
    <t xml:space="preserve"> RCR  systemic (oral, daily, based on mg/kg/d))</t>
  </si>
  <si>
    <t xml:space="preserve"> RCR systemic (dermal, chronic, based on mg/kg/d))</t>
  </si>
  <si>
    <t xml:space="preserve"> RCR  systemic (oral, chronic, based on mg/kg/d))</t>
  </si>
  <si>
    <t xml:space="preserve">RCR systemic (inhalation, yearly, based on mg/m3) </t>
  </si>
  <si>
    <t xml:space="preserve"> RCR  systemic (all routes, daily)</t>
  </si>
  <si>
    <t>c</t>
  </si>
  <si>
    <t>PEC (dermal)</t>
  </si>
  <si>
    <t>PEC (oral)</t>
  </si>
  <si>
    <t>PEC (inhalation)</t>
  </si>
  <si>
    <t>Chronic</t>
  </si>
  <si>
    <t>TRA+ Predicted Exposure - including RMM when needed (substance specific)</t>
  </si>
  <si>
    <t>PEC based on RMM, dermal (mg/kg/d)</t>
  </si>
  <si>
    <t>PEC based on RMM, oral (mg/kg/d)</t>
  </si>
  <si>
    <t>PEC based on RMM, inhalation (mg/m3)</t>
  </si>
  <si>
    <t>dermal long-term systemic (mg/kg/day)</t>
  </si>
  <si>
    <t>oral long-term systemic (mg/kg/day)</t>
  </si>
  <si>
    <t>inhalation long-term systemic (mg/m3) for 24 hr day</t>
  </si>
  <si>
    <t>Dermal Factor</t>
  </si>
  <si>
    <t>Inhalation Factor (fraction of total use spilled/evaporated, i.e., amount lost)</t>
  </si>
  <si>
    <t>Location (indoors, outdoors, garage)</t>
  </si>
  <si>
    <t>Comments</t>
  </si>
  <si>
    <t>Value</t>
  </si>
  <si>
    <t>Dilution Factor incorporating Air Exchange Rate applied to TRA for mg/kg inhalation calc.</t>
  </si>
  <si>
    <t>Exposure time (hours)</t>
  </si>
  <si>
    <t>chronic</t>
  </si>
  <si>
    <t>Predicted Inhalation Exposure, daily (mg/kg/d)</t>
  </si>
  <si>
    <t>day of use</t>
  </si>
  <si>
    <t>event</t>
  </si>
  <si>
    <t>Total Predicted Exposure (mg/kg/d) - day of use for TRA comparison only</t>
  </si>
  <si>
    <t xml:space="preserve"> RCR  systemic (all routes, chronic)</t>
  </si>
  <si>
    <r>
      <t xml:space="preserve">RMMs for communication  - Consolidate into GES or e-SDS                                                                      </t>
    </r>
    <r>
      <rPr>
        <b/>
        <sz val="10"/>
        <rFont val="Arial"/>
        <family val="2"/>
      </rPr>
      <t xml:space="preserve">REACH ADVISED: phrase [RMM code]                                         Recommended: {phrase [RMM code].} </t>
    </r>
  </si>
  <si>
    <t>Covers use up to x days/year.</t>
  </si>
  <si>
    <t>Covers use up to x times/day of use.</t>
  </si>
  <si>
    <t>Avoid using product more than x times/day of use.</t>
  </si>
  <si>
    <t xml:space="preserve">Avoid using product more than x days/yr. </t>
  </si>
  <si>
    <t>increased above TRA default</t>
  </si>
  <si>
    <t>est. loss of &lt;1% total product used via spillage or evaporation</t>
  </si>
  <si>
    <t>Est changing 2 quarts (2200 g)</t>
  </si>
  <si>
    <t>est. 100-fold diln with water (AISE indicates 10 mg/cm3 product conc. in washwater)</t>
  </si>
  <si>
    <t>(up to 1 in AISE)</t>
  </si>
  <si>
    <t>expect low % loss but may be more from pouring than using filling station equipment</t>
  </si>
  <si>
    <t>AO</t>
  </si>
  <si>
    <t>AL</t>
  </si>
  <si>
    <t>AM</t>
  </si>
  <si>
    <t>Washing car window</t>
  </si>
  <si>
    <t>Pouring into radiator</t>
  </si>
  <si>
    <t>PC15_n: Non-metal surface treatment products</t>
  </si>
  <si>
    <t>PC16_n: Heat transfer fluids</t>
  </si>
  <si>
    <t>PC17_n: Hydraulic fluids</t>
  </si>
  <si>
    <t>PC34_n: Textile dyes, finishing and impregnating products</t>
  </si>
  <si>
    <t>PC36_n: Water softners</t>
  </si>
  <si>
    <t>PC37_n: Water treatment chemicals</t>
  </si>
  <si>
    <r>
      <t xml:space="preserve">Information needed: </t>
    </r>
    <r>
      <rPr>
        <sz val="10"/>
        <rFont val="Arial"/>
        <family val="0"/>
      </rPr>
      <t>substance name, general population DNELs, Vapor Pressure, GES title  (molecular weight optional - enter if want to calculate a substance-specific saturated vapor concentration as an upper bound)</t>
    </r>
  </si>
  <si>
    <t>General structure of the workbook:</t>
  </si>
  <si>
    <t>General structure of each of the vapor pressure band sheets (where data entry is done).</t>
  </si>
  <si>
    <t>Columns B- E: PCs and subcategories</t>
  </si>
  <si>
    <t>Columns F- AA:  ECETOC TRA  operating conditions, PECs and RCRs;  can be hidden by clicking on "-" sign in cell Q1</t>
  </si>
  <si>
    <t>Columns AB - AZ:  TRA+ operating conditions and basis</t>
  </si>
  <si>
    <t>Additional notes on design and usage:</t>
  </si>
  <si>
    <t>Lock de-icer</t>
  </si>
  <si>
    <t>Glove Factor</t>
  </si>
  <si>
    <t>ConsRMM11</t>
  </si>
  <si>
    <t>Substance Name</t>
  </si>
  <si>
    <t xml:space="preserve">estimate 5% lost during pouring </t>
  </si>
  <si>
    <t>estimated time pouring into reservoir</t>
  </si>
  <si>
    <t>Section 1</t>
  </si>
  <si>
    <t>Exposure Scenario Title</t>
  </si>
  <si>
    <t>Title</t>
  </si>
  <si>
    <t>Sector of Use (SU code)</t>
  </si>
  <si>
    <t>Use Descriptor (PC codes)</t>
  </si>
  <si>
    <t>Processes, tasks, activities covered</t>
  </si>
  <si>
    <t>Environmental Release Category</t>
  </si>
  <si>
    <t>Specific Environmental Release Category</t>
  </si>
  <si>
    <t>Section 2</t>
  </si>
  <si>
    <t xml:space="preserve">Operational conditions and risk management measures </t>
  </si>
  <si>
    <t>Field for additional statements to explain scenario if required - pending better understanding from ECHA</t>
  </si>
  <si>
    <t>Section 2.1</t>
  </si>
  <si>
    <t>Control of consumer exposure</t>
  </si>
  <si>
    <t xml:space="preserve">Product characteristics  </t>
  </si>
  <si>
    <t>Physical form of product</t>
  </si>
  <si>
    <t>Concentration of substance in product</t>
  </si>
  <si>
    <r>
      <t>Amounts used</t>
    </r>
    <r>
      <rPr>
        <b/>
        <i/>
        <sz val="10"/>
        <color indexed="12"/>
        <rFont val="Arial"/>
        <family val="2"/>
      </rPr>
      <t xml:space="preserve"> </t>
    </r>
  </si>
  <si>
    <t>Frequency and duration of use/exposure</t>
  </si>
  <si>
    <r>
      <t>Other Operational Conditions affecting exposure</t>
    </r>
    <r>
      <rPr>
        <b/>
        <i/>
        <sz val="10"/>
        <color indexed="12"/>
        <rFont val="Arial"/>
        <family val="2"/>
      </rPr>
      <t xml:space="preserve"> </t>
    </r>
  </si>
  <si>
    <t>Section 2.1.1</t>
  </si>
  <si>
    <t>Product categories</t>
  </si>
  <si>
    <t>OC</t>
  </si>
  <si>
    <t>RMM</t>
  </si>
  <si>
    <r>
      <t xml:space="preserve">Polishes, </t>
    </r>
    <r>
      <rPr>
        <b/>
        <sz val="10"/>
        <color indexed="12"/>
        <rFont val="Tahoma"/>
        <family val="2"/>
      </rPr>
      <t>spray</t>
    </r>
    <r>
      <rPr>
        <sz val="10"/>
        <color indexed="12"/>
        <rFont val="Tahoma"/>
        <family val="2"/>
      </rPr>
      <t xml:space="preserve"> (furniture, shoes)</t>
    </r>
  </si>
  <si>
    <t>EPA EFH 2009 75th percentile for lubricants</t>
  </si>
  <si>
    <t>Glove Efficiency</t>
  </si>
  <si>
    <r>
      <t xml:space="preserve">Aerosol </t>
    </r>
    <r>
      <rPr>
        <b/>
        <sz val="10"/>
        <color indexed="12"/>
        <rFont val="Tahoma"/>
        <family val="2"/>
      </rPr>
      <t>spray</t>
    </r>
    <r>
      <rPr>
        <sz val="10"/>
        <color indexed="12"/>
        <rFont val="Tahoma"/>
        <family val="2"/>
      </rPr>
      <t xml:space="preserve"> can </t>
    </r>
  </si>
  <si>
    <t>GES USES</t>
  </si>
  <si>
    <t>DESCRIPTIONS</t>
  </si>
  <si>
    <t>PC LISTS</t>
  </si>
  <si>
    <t>ACC cites an EU RA</t>
  </si>
  <si>
    <t>estimated about half of a typical container</t>
  </si>
  <si>
    <t>estimated based upon use as a common TRA default</t>
  </si>
  <si>
    <t>est. fingers of one hand</t>
  </si>
  <si>
    <t>est. amount of one spray into a lock; internet search indicates lock deicers sold in about 20 g sizes;  note windshield de-icer sold in larger sizes (11 oz) but would only be needed on a vehicle parked outdoors</t>
  </si>
  <si>
    <t>estimated time to spray and open lock</t>
  </si>
  <si>
    <t>Guidelines for consumer spreadsheet use</t>
  </si>
  <si>
    <r>
      <t xml:space="preserve">2. Product use amount: </t>
    </r>
    <r>
      <rPr>
        <sz val="11"/>
        <color indexed="10"/>
        <rFont val="Calibri"/>
        <family val="2"/>
      </rPr>
      <t>b</t>
    </r>
  </si>
  <si>
    <t>OCpopulating function</t>
  </si>
  <si>
    <t>for example:</t>
  </si>
  <si>
    <t>…</t>
  </si>
  <si>
    <r>
      <t xml:space="preserve">1. Concentration: </t>
    </r>
    <r>
      <rPr>
        <sz val="11"/>
        <color indexed="10"/>
        <rFont val="Calibri"/>
        <family val="2"/>
      </rPr>
      <t>a</t>
    </r>
  </si>
  <si>
    <r>
      <t xml:space="preserve">1. Covers concentrations up to </t>
    </r>
    <r>
      <rPr>
        <sz val="10"/>
        <color indexed="10"/>
        <rFont val="Arial"/>
        <family val="2"/>
      </rPr>
      <t>x</t>
    </r>
    <r>
      <rPr>
        <sz val="10"/>
        <rFont val="Arial"/>
        <family val="2"/>
      </rPr>
      <t>% [ConsOC1]</t>
    </r>
  </si>
  <si>
    <r>
      <t xml:space="preserve">2. For each use event, covers use amounts up to </t>
    </r>
    <r>
      <rPr>
        <sz val="10"/>
        <color indexed="10"/>
        <rFont val="Arial"/>
        <family val="2"/>
      </rPr>
      <t>x</t>
    </r>
    <r>
      <rPr>
        <sz val="10"/>
        <rFont val="Arial"/>
        <family val="2"/>
      </rPr>
      <t xml:space="preserve"> g [ConsOC2]</t>
    </r>
  </si>
  <si>
    <t>RMMpopulating function</t>
  </si>
  <si>
    <t xml:space="preserve">based on </t>
  </si>
  <si>
    <t>No RMM is needed</t>
  </si>
  <si>
    <t>For a specific PC:</t>
  </si>
  <si>
    <t>Dermal</t>
  </si>
  <si>
    <t>Oral</t>
  </si>
  <si>
    <t>Inhalation</t>
  </si>
  <si>
    <t>case1:</t>
  </si>
  <si>
    <t>Y</t>
  </si>
  <si>
    <t>Dermal: DNEL(D)</t>
  </si>
  <si>
    <t>case2:</t>
  </si>
  <si>
    <t>Oral: DNEL(O)</t>
  </si>
  <si>
    <t>case3:</t>
  </si>
  <si>
    <t>Inhalation: DNEL(I)</t>
  </si>
  <si>
    <t xml:space="preserve">   lookup</t>
  </si>
  <si>
    <t xml:space="preserve">Risk Management Measures </t>
  </si>
  <si>
    <t xml:space="preserve">1. Avoid using at a product concentration </t>
  </si>
  <si>
    <t>Band1 (very low)</t>
  </si>
  <si>
    <t xml:space="preserve">Band2 (low) </t>
  </si>
  <si>
    <t xml:space="preserve">2. For each use event, avoid using a product </t>
  </si>
  <si>
    <t>Band4 (High)</t>
  </si>
  <si>
    <r>
      <t xml:space="preserve">greater than </t>
    </r>
    <r>
      <rPr>
        <sz val="11"/>
        <color indexed="10"/>
        <rFont val="Calibri"/>
        <family val="2"/>
      </rPr>
      <t>x</t>
    </r>
    <r>
      <rPr>
        <sz val="11"/>
        <color indexed="8"/>
        <rFont val="Calibri"/>
        <family val="2"/>
      </rPr>
      <t>% [ConsRMM1]</t>
    </r>
  </si>
  <si>
    <r>
      <t xml:space="preserve">amount greater than </t>
    </r>
    <r>
      <rPr>
        <sz val="11"/>
        <color indexed="10"/>
        <rFont val="Calibri"/>
        <family val="2"/>
      </rPr>
      <t>x</t>
    </r>
    <r>
      <rPr>
        <sz val="11"/>
        <color indexed="8"/>
        <rFont val="Calibri"/>
        <family val="2"/>
      </rPr>
      <t xml:space="preserve"> g [ConsRMM2]</t>
    </r>
  </si>
  <si>
    <r>
      <t xml:space="preserve">Avoid using at a product concentration greater than </t>
    </r>
    <r>
      <rPr>
        <sz val="10"/>
        <color indexed="10"/>
        <rFont val="Arial"/>
        <family val="2"/>
      </rPr>
      <t>a</t>
    </r>
    <r>
      <rPr>
        <sz val="10"/>
        <rFont val="Arial"/>
        <family val="2"/>
      </rPr>
      <t xml:space="preserve">% [ConsRMM1]; For each use event, avoid using a product amount greater than </t>
    </r>
    <r>
      <rPr>
        <sz val="10"/>
        <color indexed="10"/>
        <rFont val="Arial"/>
        <family val="2"/>
      </rPr>
      <t>b</t>
    </r>
    <r>
      <rPr>
        <sz val="10"/>
        <rFont val="Arial"/>
        <family val="2"/>
      </rPr>
      <t xml:space="preserve"> g [ConsRMM2];...</t>
    </r>
  </si>
  <si>
    <t>est. solvent conc.</t>
  </si>
  <si>
    <t>conservative assumption daily use</t>
  </si>
  <si>
    <t>fingertips of 2 hands (contact  with paper or during cartridge transfer)</t>
  </si>
  <si>
    <t>internet search indicates ink cartridges range from 9-40 g, assume entire one used</t>
  </si>
  <si>
    <t>est. several hundred pages may be print out over this time period</t>
  </si>
  <si>
    <t>PC 31 TRA  default</t>
  </si>
  <si>
    <t>PC 31 RIVM - furniture cream polish</t>
  </si>
  <si>
    <t>est. 56 g/use as internet search indicates leathercare sold in 3-4 oz liquids and sprays, est. about 1/2 per use</t>
  </si>
  <si>
    <t>PC12 TRA  default</t>
  </si>
  <si>
    <t>internet search indicates 4 oz liquid dye added to 3 gallons of water (= 0.01 dilution factor)</t>
  </si>
  <si>
    <t>est. 2 hands contact</t>
  </si>
  <si>
    <t>est. 4 oz (115 g) per event based upon internet use information</t>
  </si>
  <si>
    <t>internet indicates clothing can remain in dye bath up to 1 hour</t>
  </si>
  <si>
    <t>est. weight fraction</t>
  </si>
  <si>
    <t>internet search indicates water treatment chemicals in swimming are added in amount giving dilution factor of 0.000001</t>
  </si>
  <si>
    <t>based upon internet search for pool water treatment chemicals</t>
  </si>
  <si>
    <t>Dufour  study</t>
  </si>
  <si>
    <t>from internet search of use amount</t>
  </si>
  <si>
    <t>contains acids, sold with brushes or applicators so no dermal exposure expected</t>
  </si>
  <si>
    <t>est. 3 seals at 4 g/seal for a small room</t>
  </si>
  <si>
    <t>est. time completing 3 seals</t>
  </si>
  <si>
    <t>Avoid using in room size less than  x m3.</t>
  </si>
  <si>
    <t>General:</t>
  </si>
  <si>
    <t>AISE Table of Habits and Practices for Consumer Products in Western Europe</t>
  </si>
  <si>
    <t>HERA Guidance Document Methodology February 2005</t>
  </si>
  <si>
    <t>RIVM  Fact Sheets</t>
  </si>
  <si>
    <t>RIVM CONSEXPO Model</t>
  </si>
  <si>
    <t>Soap and Detergent Association. April 2005. Exposure and Risk Screening Methods for Consumer Product Ingredients</t>
  </si>
  <si>
    <t>USEPA 2009 Draft Exposure Factors Handbook: http://cfpub.epa.gov/ncea/cfm/recordisplay.cfm?deid=209866</t>
  </si>
  <si>
    <t>USEPA EFAST Model: http://www.epa.gov/oppt/exposure/pubs/efast.htm</t>
  </si>
  <si>
    <t>USEPA  Dermal Exposure Assessment:  A Summary of EPA Approaches. 600/R-07/040F</t>
  </si>
  <si>
    <t>Specific:</t>
  </si>
  <si>
    <t>PC1: Reference 3-  google search of floor adhesive coverage, coverages taken from multiple sites including: www.academyfloor.com, www.roscodancefloors.com</t>
  </si>
  <si>
    <t>PC3: Internet search, information taken from www.glade.com</t>
  </si>
  <si>
    <t>PC4 deicing sizes: google search yielded lock de-icer sold in 5/8 oz;  windshield de-icer 11 oz</t>
  </si>
  <si>
    <t>PC9a latex paint coverage: http://www.bobvila.com/HowTo_Library/Estimating_Paint_Coverage-Painting-A2765.html</t>
  </si>
  <si>
    <t>PC9b fillers and putties -internet search (including www.homedepot.com) indicates tubes sold in 1 and 3 oz sizes</t>
  </si>
  <si>
    <t>PC13:  CONCAWE documents (need to add specifics)</t>
  </si>
  <si>
    <t>PC23: internet search of leathercare products - EMT and REI sell 4.2 oz spray, 3.5 oz liquid</t>
  </si>
  <si>
    <t>PC18: internet search indicates ink cartridges range from 9-40 g</t>
  </si>
  <si>
    <t>PC34: www.ritdye.com - liquid dye sold in 8 oz containers; for a pound of dry fabric, use 1/2 bottle in 3 gallons of water; can remain in dye bath up to 1 hour</t>
  </si>
  <si>
    <t>PC36, 37: wiki.answers.com/Q/What_chemical_are_needed_for_a_new_swimming_pool  :  1 cubic meter = 1 L and 4.5 L = 1 gallon.  pH adjustment about 10 g per 1000 L per day; algaecide about 25 ml per 1000 L initial shock dose than 2 ml per 1000 L every 2 weeks; use amounts are g or L per 1000 L so dilutions are 0.000001</t>
  </si>
  <si>
    <t>inhalation systemic (mg/kg/24 hr day)</t>
  </si>
  <si>
    <t>total child surface area (more conservative than adults on cm2/kg basis).  Note thickness default increased by factor of 10 to 0.1 cm due to extended contact time</t>
  </si>
  <si>
    <t>Life Cycle Stage / Sector of Use</t>
  </si>
  <si>
    <t>Table 1: Mapping Consumer Uses in the Supply Chain</t>
  </si>
  <si>
    <t xml:space="preserve">Table 2b: Characterising the Risk - after refinement of exposure estimate </t>
  </si>
  <si>
    <t>Relevant Use Sentinel Product</t>
  </si>
  <si>
    <t>Product sub Category Sentinels</t>
  </si>
  <si>
    <r>
      <t>P</t>
    </r>
    <r>
      <rPr>
        <sz val="9"/>
        <rFont val="Tahoma"/>
        <family val="2"/>
      </rPr>
      <t>roduct ingredient
(g/g)</t>
    </r>
  </si>
  <si>
    <r>
      <t xml:space="preserve"> Skin surface contact area</t>
    </r>
    <r>
      <rPr>
        <sz val="10"/>
        <color indexed="12"/>
        <rFont val="Arial"/>
        <family val="2"/>
      </rPr>
      <t xml:space="preserve"> </t>
    </r>
    <r>
      <rPr>
        <sz val="10"/>
        <rFont val="Arial"/>
        <family val="2"/>
      </rPr>
      <t>(cm</t>
    </r>
    <r>
      <rPr>
        <vertAlign val="superscript"/>
        <sz val="10"/>
        <rFont val="Arial"/>
        <family val="2"/>
      </rPr>
      <t>2</t>
    </r>
    <r>
      <rPr>
        <sz val="10"/>
        <rFont val="Arial"/>
        <family val="2"/>
      </rPr>
      <t>)</t>
    </r>
  </si>
  <si>
    <r>
      <t xml:space="preserve"> </t>
    </r>
    <r>
      <rPr>
        <sz val="10"/>
        <rFont val="Arial"/>
        <family val="2"/>
      </rPr>
      <t>Amount Swallowed (g)</t>
    </r>
  </si>
  <si>
    <r>
      <t xml:space="preserve"> </t>
    </r>
    <r>
      <rPr>
        <sz val="10"/>
        <rFont val="Arial"/>
        <family val="2"/>
      </rPr>
      <t>Amount Used per event (g)</t>
    </r>
  </si>
  <si>
    <t xml:space="preserve">Risk Characterization based on defaults </t>
  </si>
  <si>
    <t>Predicted Dermal Exposure (mg/kg/d)</t>
  </si>
  <si>
    <t>Predicted Oral Exposure (mg/kg/d)</t>
  </si>
  <si>
    <t>Predicted Inhalation Exposure (mg/kg/d)</t>
  </si>
  <si>
    <t>Total Predicted Exposure (mg/kg/d)</t>
  </si>
  <si>
    <t xml:space="preserve"> RCR (dermal)</t>
  </si>
  <si>
    <t xml:space="preserve"> RCR (oral)</t>
  </si>
  <si>
    <t>Consumerl-SU21</t>
  </si>
  <si>
    <t>A</t>
  </si>
  <si>
    <t>PC35:Washing and cleaning products (including solvent based products)</t>
  </si>
  <si>
    <t>Laundry and dish washing products</t>
  </si>
  <si>
    <t>Generic Exposure Scenario</t>
  </si>
  <si>
    <t>Short Title</t>
  </si>
  <si>
    <t>Area of Application / UD</t>
  </si>
  <si>
    <t>N</t>
  </si>
  <si>
    <r>
      <t xml:space="preserve">Aerosol </t>
    </r>
    <r>
      <rPr>
        <b/>
        <sz val="10"/>
        <rFont val="Tahoma"/>
        <family val="2"/>
      </rPr>
      <t>spray</t>
    </r>
    <r>
      <rPr>
        <sz val="10"/>
        <rFont val="Tahoma"/>
        <family val="2"/>
      </rPr>
      <t xml:space="preserve"> can </t>
    </r>
  </si>
  <si>
    <r>
      <t xml:space="preserve">Air care, instant action (aerosol </t>
    </r>
    <r>
      <rPr>
        <b/>
        <sz val="10"/>
        <rFont val="Arial"/>
        <family val="2"/>
      </rPr>
      <t>sprays</t>
    </r>
    <r>
      <rPr>
        <sz val="10"/>
        <rFont val="Arial"/>
        <family val="2"/>
      </rPr>
      <t>)</t>
    </r>
  </si>
  <si>
    <r>
      <t xml:space="preserve">Cleaners, trigger </t>
    </r>
    <r>
      <rPr>
        <b/>
        <sz val="10"/>
        <rFont val="Arial"/>
        <family val="2"/>
      </rPr>
      <t>sprays</t>
    </r>
    <r>
      <rPr>
        <sz val="10"/>
        <rFont val="Arial"/>
        <family val="2"/>
      </rPr>
      <t xml:space="preserve"> (all purpose cleaners, sanitary products,  glass cleaners) </t>
    </r>
  </si>
  <si>
    <t>S</t>
  </si>
  <si>
    <r>
      <t>PC24</t>
    </r>
    <r>
      <rPr>
        <sz val="10"/>
        <rFont val="Tahoma"/>
        <family val="2"/>
      </rPr>
      <t>: Lubricants, greases, and release products</t>
    </r>
  </si>
  <si>
    <r>
      <t>PC25_n</t>
    </r>
    <r>
      <rPr>
        <sz val="10"/>
        <rFont val="Tahoma"/>
        <family val="2"/>
      </rPr>
      <t>: Metal working fluids</t>
    </r>
  </si>
  <si>
    <r>
      <t>PC26_n</t>
    </r>
    <r>
      <rPr>
        <sz val="10"/>
        <rFont val="Tahoma"/>
        <family val="2"/>
      </rPr>
      <t>: Paper and board dye, finishing and impregnation products</t>
    </r>
  </si>
  <si>
    <r>
      <t>PC27_n</t>
    </r>
    <r>
      <rPr>
        <sz val="10"/>
        <rFont val="Tahoma"/>
        <family val="2"/>
      </rPr>
      <t>: Plant protection products</t>
    </r>
  </si>
  <si>
    <r>
      <t>PC28_n</t>
    </r>
    <r>
      <rPr>
        <sz val="10"/>
        <rFont val="Tahoma"/>
        <family val="2"/>
      </rPr>
      <t>: Perfumes, frangrances</t>
    </r>
  </si>
  <si>
    <r>
      <t>PC29_n</t>
    </r>
    <r>
      <rPr>
        <sz val="10"/>
        <rFont val="Tahoma"/>
        <family val="2"/>
      </rPr>
      <t>: Pharmaceuticals</t>
    </r>
  </si>
  <si>
    <r>
      <t>PC30_n</t>
    </r>
    <r>
      <rPr>
        <sz val="10"/>
        <rFont val="Tahoma"/>
        <family val="2"/>
      </rPr>
      <t>: Photochemicals</t>
    </r>
  </si>
  <si>
    <r>
      <t>PC31</t>
    </r>
    <r>
      <rPr>
        <sz val="10"/>
        <rFont val="Tahoma"/>
        <family val="2"/>
      </rPr>
      <t>:Polishes and wax blends</t>
    </r>
  </si>
  <si>
    <r>
      <t>PC32_n</t>
    </r>
    <r>
      <rPr>
        <sz val="10"/>
        <rFont val="Tahoma"/>
        <family val="2"/>
      </rPr>
      <t>: Polymer preparations and compounds</t>
    </r>
  </si>
  <si>
    <r>
      <t>PC33_n</t>
    </r>
    <r>
      <rPr>
        <sz val="10"/>
        <rFont val="Tahoma"/>
        <family val="2"/>
      </rPr>
      <t>: Semiconductor</t>
    </r>
  </si>
  <si>
    <r>
      <t>PC34_n</t>
    </r>
    <r>
      <rPr>
        <sz val="10"/>
        <rFont val="Tahoma"/>
        <family val="2"/>
      </rPr>
      <t>: Textile dyes, finishing and impregnating products</t>
    </r>
  </si>
  <si>
    <r>
      <t>PC35</t>
    </r>
    <r>
      <rPr>
        <sz val="10"/>
        <rFont val="Tahoma"/>
        <family val="2"/>
      </rPr>
      <t>:Washing and cleaning products (including solvent based products)</t>
    </r>
  </si>
  <si>
    <r>
      <t>PC36_n</t>
    </r>
    <r>
      <rPr>
        <sz val="10"/>
        <rFont val="Tahoma"/>
        <family val="2"/>
      </rPr>
      <t>: Water softners</t>
    </r>
  </si>
  <si>
    <r>
      <t>PC37_n</t>
    </r>
    <r>
      <rPr>
        <sz val="10"/>
        <rFont val="Tahoma"/>
        <family val="2"/>
      </rPr>
      <t>: Water treatment chemicals</t>
    </r>
  </si>
  <si>
    <r>
      <t>PC38_n</t>
    </r>
    <r>
      <rPr>
        <sz val="10"/>
        <rFont val="Tahoma"/>
        <family val="2"/>
      </rPr>
      <t>: Welding and soldering products, flux products</t>
    </r>
  </si>
  <si>
    <r>
      <t>PC39_n</t>
    </r>
    <r>
      <rPr>
        <sz val="10"/>
        <rFont val="Tahoma"/>
        <family val="2"/>
      </rPr>
      <t>: Cosmetics, personal care products</t>
    </r>
  </si>
  <si>
    <r>
      <t>PC40_n</t>
    </r>
    <r>
      <rPr>
        <sz val="10"/>
        <rFont val="Tahoma"/>
        <family val="2"/>
      </rPr>
      <t>: Extraction agents</t>
    </r>
  </si>
  <si>
    <t>adult / child</t>
  </si>
  <si>
    <t>all</t>
  </si>
  <si>
    <t>d</t>
  </si>
  <si>
    <t>o</t>
  </si>
  <si>
    <t>i</t>
  </si>
  <si>
    <t>frequency (events per day)</t>
  </si>
  <si>
    <t>TRA volatility range</t>
  </si>
  <si>
    <t>liquid</t>
  </si>
  <si>
    <t>HERA dish washing duration (greater than laundry duration)</t>
  </si>
  <si>
    <t>5 from EFH dishwashing; laundry liquid 150 g in HERA - est. 90% down the drain, exposure to 15 g</t>
  </si>
  <si>
    <t>EFH 2009</t>
  </si>
  <si>
    <t>EFH 2009 mean liquid purpose cleaner</t>
  </si>
  <si>
    <t>est. lower skin contact for spray than liquid, wiping with one hand</t>
  </si>
  <si>
    <t>HERA and SDA maximum use time</t>
  </si>
  <si>
    <t>PC3:Air care products</t>
  </si>
  <si>
    <t>Air care, continuous action (solid and liquid)</t>
  </si>
  <si>
    <t>Consumer (SU21)</t>
  </si>
  <si>
    <t>RIVM paint fact sheet</t>
  </si>
  <si>
    <r>
      <t>P</t>
    </r>
    <r>
      <rPr>
        <sz val="9"/>
        <rFont val="Tahoma"/>
        <family val="2"/>
      </rPr>
      <t>roduct ingredient (weight fraction)
(g/g)</t>
    </r>
  </si>
  <si>
    <t>est. 400 sq ft per gallon, for walls of 20 m3 room est. 304 sq ft or 0.76 gallons = 2760 g; consistent with EPA 2009 EFH 75th percentile</t>
  </si>
  <si>
    <t>RIVM paint fact sheet solvent percentage</t>
  </si>
  <si>
    <t>EFH 2009 75th percentile oil paint</t>
  </si>
  <si>
    <t>RIVM</t>
  </si>
  <si>
    <t>EFH 2009 75th percentile spray paint</t>
  </si>
  <si>
    <t>EFH 2009 75th percentile</t>
  </si>
  <si>
    <t>EPA EFH 2009 75th percentile</t>
  </si>
  <si>
    <t>Product function requires product to remain, expect &lt;solvent amount in water borne paint</t>
  </si>
  <si>
    <t>Est. 3 oz consumer use (internet search indicates tubes sold in 1 and 3 oz sizes).</t>
  </si>
  <si>
    <t>EFH 2009 75th percentile use 1.2 oz/use</t>
  </si>
  <si>
    <t>EPA EFAST 7.8 cm2/kg, adjusted to 60 kg</t>
  </si>
  <si>
    <t>EPA EFH 2009 75th percentile, Table 17-5</t>
  </si>
  <si>
    <t>PC24: Lubricants, greases, and release products</t>
  </si>
  <si>
    <t>Removers (paint-, glue-, wall paper-, sealant-remover)</t>
  </si>
  <si>
    <t>Modelling clay</t>
  </si>
  <si>
    <t>Plasters and floor equalizers</t>
  </si>
  <si>
    <t>Liquids</t>
  </si>
  <si>
    <t>Pastes</t>
  </si>
  <si>
    <t>Sprays</t>
  </si>
  <si>
    <r>
      <t>PC9b</t>
    </r>
    <r>
      <rPr>
        <sz val="10"/>
        <rFont val="Tahoma"/>
        <family val="2"/>
      </rPr>
      <t>:Fillers, putties, plasters, modeling clay</t>
    </r>
  </si>
  <si>
    <t>dermal</t>
  </si>
  <si>
    <t>oral</t>
  </si>
  <si>
    <t>inhalation</t>
  </si>
  <si>
    <t>C</t>
  </si>
  <si>
    <t>RCR (inhalation mg/kg/day)</t>
  </si>
  <si>
    <t>high</t>
  </si>
  <si>
    <t>RCR dermal local (based on mg/cm2)</t>
  </si>
  <si>
    <t xml:space="preserve"> RCR systemic (dermal, based on mg/kg/d))</t>
  </si>
  <si>
    <t xml:space="preserve"> RCR  systemic (oral, based on mg/kg/d))</t>
  </si>
  <si>
    <t>RCR inhalation local (based on Activity TWA mg/m3)</t>
  </si>
  <si>
    <t xml:space="preserve">Cleaners, liquids (all purpose cleaners, sanitary products, floor cleaners, glass cleaners, carpet cleaners, metal cleaners ) </t>
  </si>
  <si>
    <r>
      <t>PC1</t>
    </r>
    <r>
      <rPr>
        <sz val="10"/>
        <rFont val="Tahoma"/>
        <family val="2"/>
      </rPr>
      <t>:Adhesives, sealants</t>
    </r>
  </si>
  <si>
    <r>
      <t>PC2_n</t>
    </r>
    <r>
      <rPr>
        <sz val="10"/>
        <rFont val="Tahoma"/>
        <family val="2"/>
      </rPr>
      <t>: Adsorbents</t>
    </r>
  </si>
  <si>
    <r>
      <t>PC3</t>
    </r>
    <r>
      <rPr>
        <sz val="10"/>
        <rFont val="Tahoma"/>
        <family val="2"/>
      </rPr>
      <t>:Air care products</t>
    </r>
  </si>
  <si>
    <r>
      <t>PC7_n</t>
    </r>
    <r>
      <rPr>
        <sz val="10"/>
        <rFont val="Tahoma"/>
        <family val="2"/>
      </rPr>
      <t>: Base metals and alloys</t>
    </r>
  </si>
  <si>
    <r>
      <t>PC11_n</t>
    </r>
    <r>
      <rPr>
        <sz val="10"/>
        <rFont val="Arial"/>
        <family val="2"/>
      </rPr>
      <t>: Explosives</t>
    </r>
  </si>
  <si>
    <r>
      <t>PC12</t>
    </r>
    <r>
      <rPr>
        <sz val="10"/>
        <rFont val="Tahoma"/>
        <family val="2"/>
      </rPr>
      <t>:Fertilizers</t>
    </r>
  </si>
  <si>
    <r>
      <t>PC13</t>
    </r>
    <r>
      <rPr>
        <sz val="10"/>
        <rFont val="Tahoma"/>
        <family val="2"/>
      </rPr>
      <t>:Fuels</t>
    </r>
  </si>
  <si>
    <r>
      <t>PC14_n</t>
    </r>
    <r>
      <rPr>
        <sz val="10"/>
        <rFont val="Tahoma"/>
        <family val="2"/>
      </rPr>
      <t>: Metal surface treatment products</t>
    </r>
  </si>
  <si>
    <r>
      <t>PC15_n</t>
    </r>
    <r>
      <rPr>
        <sz val="10"/>
        <rFont val="Tahoma"/>
        <family val="2"/>
      </rPr>
      <t>: Non-metal surface treatment products</t>
    </r>
  </si>
  <si>
    <r>
      <t>PC16_n</t>
    </r>
    <r>
      <rPr>
        <sz val="10"/>
        <rFont val="Tahoma"/>
        <family val="2"/>
      </rPr>
      <t>: Heat transfer fluids</t>
    </r>
  </si>
  <si>
    <r>
      <t>PC17_n</t>
    </r>
    <r>
      <rPr>
        <sz val="10"/>
        <rFont val="Tahoma"/>
        <family val="2"/>
      </rPr>
      <t>: Hydraulic fluids</t>
    </r>
  </si>
  <si>
    <r>
      <t>PC18_n</t>
    </r>
    <r>
      <rPr>
        <sz val="10"/>
        <rFont val="Tahoma"/>
        <family val="2"/>
      </rPr>
      <t>: Ink and toners</t>
    </r>
  </si>
  <si>
    <r>
      <t>PC19_n</t>
    </r>
    <r>
      <rPr>
        <sz val="10"/>
        <rFont val="Tahoma"/>
        <family val="2"/>
      </rPr>
      <t>: Intermediate</t>
    </r>
  </si>
  <si>
    <r>
      <t>PC20_n:</t>
    </r>
    <r>
      <rPr>
        <sz val="10"/>
        <rFont val="Tahoma"/>
        <family val="2"/>
      </rPr>
      <t xml:space="preserve"> Products such as PH-regulators, flocculants, precipitants, neutralization agents, other unspecific</t>
    </r>
  </si>
  <si>
    <r>
      <t>PC21_n</t>
    </r>
    <r>
      <rPr>
        <sz val="10"/>
        <rFont val="Tahoma"/>
        <family val="2"/>
      </rPr>
      <t>: Laboratory chemicals</t>
    </r>
  </si>
  <si>
    <r>
      <t>PC23_n</t>
    </r>
    <r>
      <rPr>
        <sz val="10"/>
        <rFont val="Tahoma"/>
        <family val="2"/>
      </rPr>
      <t>: Leather tanning, dye, finishing, impregnation and care products</t>
    </r>
  </si>
  <si>
    <r>
      <t>PC9c</t>
    </r>
    <r>
      <rPr>
        <sz val="10"/>
        <rFont val="Tahoma"/>
        <family val="2"/>
      </rPr>
      <t xml:space="preserve">:Finger paints </t>
    </r>
  </si>
  <si>
    <t>Waterborne latex wall paint</t>
  </si>
  <si>
    <t>PC9b:Fillers, putties, plasters, modeling clay</t>
  </si>
  <si>
    <t xml:space="preserve">PC9c:Finger paints </t>
  </si>
  <si>
    <t>Solvent rich, high solid, water borne paint</t>
  </si>
  <si>
    <t xml:space="preserve">Fillers and putty </t>
  </si>
  <si>
    <t>Finger paints</t>
  </si>
  <si>
    <r>
      <t>room volume (m</t>
    </r>
    <r>
      <rPr>
        <vertAlign val="superscript"/>
        <sz val="10"/>
        <color indexed="63"/>
        <rFont val="Arial"/>
        <family val="2"/>
      </rPr>
      <t>3</t>
    </r>
    <r>
      <rPr>
        <sz val="10"/>
        <color indexed="63"/>
        <rFont val="Arial"/>
        <family val="2"/>
      </rPr>
      <t>)</t>
    </r>
  </si>
  <si>
    <t>exposure time (hr)</t>
  </si>
  <si>
    <r>
      <t>Predicted Inhalation Exposure (mg/m</t>
    </r>
    <r>
      <rPr>
        <vertAlign val="superscript"/>
        <sz val="10"/>
        <rFont val="Arial"/>
        <family val="2"/>
      </rPr>
      <t>3</t>
    </r>
    <r>
      <rPr>
        <sz val="10"/>
        <rFont val="Arial"/>
        <family val="0"/>
      </rPr>
      <t>)</t>
    </r>
  </si>
  <si>
    <t>Est. -Product function requires product to remain, expect &lt;solvent amount in water borne paint</t>
  </si>
  <si>
    <t>Molecular Weight (g/mole)</t>
  </si>
  <si>
    <t>Saturated Vapour Concentration (mg/m3)</t>
  </si>
  <si>
    <t>Air Exchange Rate (1/hr)</t>
  </si>
  <si>
    <t>indoor, typical</t>
  </si>
  <si>
    <t>indoor, ventilation</t>
  </si>
  <si>
    <t>garage</t>
  </si>
  <si>
    <t>outdoor</t>
  </si>
  <si>
    <t>Room Volume (m3)</t>
  </si>
  <si>
    <t xml:space="preserve"> Risk Management Measures (RMMs)</t>
  </si>
  <si>
    <t>Substance volatility (Pa):</t>
  </si>
  <si>
    <t>Physical property</t>
  </si>
  <si>
    <t>Thickness Layer (cm)</t>
  </si>
  <si>
    <t>Density (g/cm3)</t>
  </si>
  <si>
    <t>Body Weight (kg)</t>
  </si>
  <si>
    <t>Inhalation Rate (m3/hr)</t>
  </si>
  <si>
    <t>fraction released to air</t>
  </si>
  <si>
    <t>dermal local (mg/cm2)</t>
  </si>
  <si>
    <t>inhalation local (mg/m3)</t>
  </si>
  <si>
    <t>Substance Properties:</t>
  </si>
  <si>
    <t>References Values (DNELs):</t>
  </si>
  <si>
    <t>Common Parameter Defaults:</t>
  </si>
  <si>
    <t>PC38_n: Welding and soldering products, flux products</t>
  </si>
  <si>
    <t>TRA default</t>
  </si>
  <si>
    <t>EFC1</t>
  </si>
  <si>
    <t>EFC2</t>
  </si>
  <si>
    <t>RCR- VL (based on the new modifiers)</t>
  </si>
  <si>
    <t>RCR=L (based on the new modifiers)</t>
  </si>
  <si>
    <t>RCR-M (based on the new modifiers)</t>
  </si>
  <si>
    <t>RCR -VL (based on TRA+ defaults)</t>
  </si>
  <si>
    <t>RCR - L based on TRA+ defaults)</t>
  </si>
  <si>
    <t>RCR - M (based on TRA+ defaults)</t>
  </si>
  <si>
    <t>RCR - H (based on TRA+ defaults)</t>
  </si>
  <si>
    <t>EFC3</t>
  </si>
  <si>
    <t>EFC4</t>
  </si>
  <si>
    <t>x</t>
  </si>
  <si>
    <t>Avoid using without gloves.</t>
  </si>
  <si>
    <t>Avoid using indoors.</t>
  </si>
  <si>
    <t xml:space="preserve">Avoid using at a product concentration greater than x%.  </t>
  </si>
  <si>
    <t xml:space="preserve">For each use event, avoid using a product amount greater than x g .  </t>
  </si>
  <si>
    <t>Avoid skin contact area greater than x cm2 .</t>
  </si>
  <si>
    <t>Avoid using when windows closed.</t>
  </si>
  <si>
    <t>Avoid using without an operating fan and open windows.</t>
  </si>
  <si>
    <t>Avoid using in rooms smaller than a garage - room volume of at least x m3.</t>
  </si>
  <si>
    <t>For each use event, avoid swallowing amounts more than x g.</t>
  </si>
  <si>
    <t>For each use, avoid using for more than x hours.</t>
  </si>
  <si>
    <t>Total RCR</t>
  </si>
  <si>
    <t>t</t>
  </si>
  <si>
    <t>PC5_n</t>
  </si>
  <si>
    <t>PC6_n</t>
  </si>
  <si>
    <t>PC10_n</t>
  </si>
  <si>
    <t>PC22_n</t>
  </si>
  <si>
    <t>PC1:Adhesives, sealants</t>
  </si>
  <si>
    <t>Glues, hobby use</t>
  </si>
  <si>
    <t>Glues DIY-use (carpet glue, tile glue, wood parquet glue)</t>
  </si>
  <si>
    <r>
      <t xml:space="preserve">Glue from </t>
    </r>
    <r>
      <rPr>
        <b/>
        <sz val="10"/>
        <rFont val="Tahoma"/>
        <family val="2"/>
      </rPr>
      <t>spray</t>
    </r>
  </si>
  <si>
    <t xml:space="preserve">Sealants </t>
  </si>
  <si>
    <t>PC18_n: Ink and toners</t>
  </si>
  <si>
    <t>Inks and toners.</t>
  </si>
  <si>
    <t>PC23_n: Leather tanning, dye, finishing, impregnation and care products</t>
  </si>
  <si>
    <t>PC31:Polishes and wax blends</t>
  </si>
  <si>
    <t>internet search indicates 14.4g plug-in lasts 30days, so 0.48g/day</t>
  </si>
  <si>
    <t>RCR - H (based on the new modifiers)</t>
  </si>
  <si>
    <t>TRA+ modifiers (in Table 2b section)</t>
  </si>
  <si>
    <t>Operational condition standard phrases</t>
  </si>
  <si>
    <t xml:space="preserve">Concatenate TRA+ modifier values with relevant OC standard phrases </t>
  </si>
  <si>
    <t>Output as OCs for the scenario</t>
  </si>
  <si>
    <t>EGRET tool</t>
  </si>
  <si>
    <t>Dermal band#: band(D)</t>
  </si>
  <si>
    <t>Oral band#: band(O)</t>
  </si>
  <si>
    <t>Inhalation band#: band(I)</t>
  </si>
  <si>
    <t>RMM Standard Phrase Library</t>
  </si>
  <si>
    <t>min(band(D),band(O),band(I))</t>
  </si>
  <si>
    <t>min(band(D), band(O))</t>
  </si>
  <si>
    <t>min(band(D), band(I))</t>
  </si>
  <si>
    <t>band(I)</t>
  </si>
  <si>
    <t>band(D)</t>
  </si>
  <si>
    <t>min(band(O),band(I))</t>
  </si>
  <si>
    <t>band(O)</t>
  </si>
  <si>
    <t>Output as RMMs for the scenario</t>
  </si>
  <si>
    <r>
      <t>User DNEL</t>
    </r>
    <r>
      <rPr>
        <b/>
        <sz val="11"/>
        <color indexed="8"/>
        <rFont val="Calibri"/>
        <family val="2"/>
      </rPr>
      <t xml:space="preserve"> inputs</t>
    </r>
  </si>
  <si>
    <r>
      <t>RMM</t>
    </r>
    <r>
      <rPr>
        <sz val="11"/>
        <color indexed="8"/>
        <rFont val="Calibri"/>
        <family val="2"/>
      </rPr>
      <t xml:space="preserve"> is needed</t>
    </r>
  </si>
  <si>
    <t>Table 2a: Characterising the Risk - based on defaults (ECETOC TRA ver2 Consumers)</t>
  </si>
  <si>
    <t>For PC3 air care products (continuous action), there is a misplacement of a parenthesis in the dermal estimate formula (column Q), which resulted in a dermal exposure estimate from the ESIG tool 1000 folder less than the estimate from TRA. However, this misplacement will only impact one scenario: PC3 air care products (continuous action). There is no impact on the dermal estimate for all other scenarios in the ESIG tool. Furthermore, for this scenario, its inhalation exposure instead of dermal exposure is the risk driver, i.e. dermal exposure is not a trigger for its RMM.</t>
  </si>
  <si>
    <t>For PC13 garden equipment fuel use scenario, the formula in cell Q36 in 4 VP worksheets have been updated since there is no dermal exposure route for this scenario. The previous formula resulted  in a more conservative dermal and total exposure estimate (dermal prediction &gt;0 instead of =0)</t>
  </si>
  <si>
    <t>internet search indicates 12.2g spray upon motion lasts up to 30days; so 0.4g/day or 0.1g/event if 4/day (plug-in freshener)</t>
  </si>
  <si>
    <t>Added a new column (BH) as an indicator for basis of the inhalation event concentration (Saturated Vapor Concentration-SVC). If the inhalation event concentration for a scenario has been upper bounded by the SVC, the column BH will indicate that with "SVC"</t>
  </si>
  <si>
    <t>Indicator for Basis of the Inhalation Event Concentration (SVC if Saturated Vapor Concentration is used)</t>
  </si>
  <si>
    <t>Zaleski RT, Qian H, Zelenka MP, George-Ares A, Money C. European solvent industry group generic exposure scenario risk and exposure tool. Journal of Exposure Science and Environmental Epidemiology. advance online publication 30 January 2013; doi: 10.1038/jes.2012.128</t>
  </si>
  <si>
    <t>Publication:</t>
  </si>
  <si>
    <t>It is to be noted that for products used infrequently, use frequency should not be used to average out exposure over a longer time period.  In the first instance, exposure should be calculated for the actual duration of an event (event exposure) and then expressed as that concentration per day.                                                If the derived risk characterization ratio (RCR) is lower than 1, the conclusion of the assessment is that there is no relevant risk even from the acute exposure.  If the derived RCR is above 1, the assessment may be refined by using available data on event exposure, frequency, duration of exposure and other information to refine the exposure estimate.  Only in situation where a substance is classified for its acute systemic toxicity, the derivation of an acute DNEL and the assessment of peak exposure would be required.</t>
  </si>
  <si>
    <t>For Narrative worksheet, the formula in cell C16 needs to be updated to cover all the PC scenarios. It will impact the frequency and duration of use/exposure in four narratives</t>
  </si>
  <si>
    <t>The formula in PEC and RCRs based on new modifiers in 4 DNEL bands in 4 VP worksheets have been updated (columns DC-DE, DJ-DL in dnel band1; columns EE-EG, EL-EN in dnel band2; columns FG-FI, FN-FP in dnelband3; and columns GI-GK, GP-GR in dnel band 4). The previous formula results in DNEL Band PECs and RCRs showing as 0 when the concentration modifier is blank (but these were only in the DNEL bands which were not used in the tool results as no RMMs were needed).  This update will have no impact on the results since the scenarios with blank as their concentration modifiers in DNEL bands did not need additional RMMs populated.</t>
  </si>
  <si>
    <t>Updated all the formula, so if there is a scenario without a relevant exposure route or one of the DNEL entry is blank, their exposure prediction or RCR which was shown as invalid values like #value! or Div/0!, will be shown as "n/a" instead.</t>
  </si>
  <si>
    <t>RIVM joint sealant</t>
  </si>
  <si>
    <t>internet search indicates about 7.5 L (13.8 kg) ready to roll plaster to cover 31 m2 surface area (est. walls of 20 m3 room)</t>
  </si>
  <si>
    <t>est. mean ingestion during bathing as 1/10 that of swimming</t>
  </si>
  <si>
    <t>PC9b plasters and floor equalizers -7.5 L (13.8 kg) ready to roll plaster to cover 31 m2 surface area (est. walls of 20 m3 room)</t>
  </si>
  <si>
    <t>to be consistent with ECHA and TRAv3.1</t>
  </si>
  <si>
    <t>Target RCR</t>
  </si>
  <si>
    <t>Use frequency band</t>
  </si>
  <si>
    <t>Frequent</t>
  </si>
  <si>
    <t>Occasional</t>
  </si>
  <si>
    <t>Infrequent</t>
  </si>
  <si>
    <t>Very infrequent</t>
  </si>
  <si>
    <t>ECETOC TR NO.97</t>
  </si>
  <si>
    <t>ECETOC TR NO.107</t>
  </si>
  <si>
    <t>ECETOC TR NO.114</t>
  </si>
  <si>
    <t>ECETOC TR NO.124</t>
  </si>
  <si>
    <r>
      <t>Predicted Inhalation Exposure - upper bounded with SVC when available (mg/m</t>
    </r>
    <r>
      <rPr>
        <vertAlign val="superscript"/>
        <sz val="10"/>
        <rFont val="Arial"/>
        <family val="2"/>
      </rPr>
      <t>3</t>
    </r>
    <r>
      <rPr>
        <sz val="10"/>
        <rFont val="Arial"/>
        <family val="0"/>
      </rPr>
      <t>)</t>
    </r>
  </si>
  <si>
    <t>RCR (inhalation upper bounded with SVC when available mg/m3)</t>
  </si>
  <si>
    <t>Control bands</t>
  </si>
  <si>
    <t>Control BAND1</t>
  </si>
  <si>
    <t>Control BAND2</t>
  </si>
  <si>
    <t>Control BAND3</t>
  </si>
  <si>
    <t>Control BAND4</t>
  </si>
  <si>
    <t>Control band table</t>
  </si>
  <si>
    <t>Determine the control band</t>
  </si>
  <si>
    <t>Determine the lowest control band</t>
  </si>
  <si>
    <t>Modifiers in the lowest control band</t>
  </si>
  <si>
    <t>Concatenate RMM with modifiers in the lowest control band</t>
  </si>
  <si>
    <t>Lowest control band</t>
  </si>
  <si>
    <t>Column BV: Summary of operating conditions</t>
  </si>
  <si>
    <t>Column BW: Summary of RMMs needed</t>
  </si>
  <si>
    <t xml:space="preserve">Column BX - Exposure estimates used as the basis for final substance-specific RCRs.  It includes one of 4 phrases:  Based upon daily use; Based upon infrequent use (&lt;365 days/year); Based upon daily use + RMM; Based upon infrequent use + RMM.   The column automatically populates and carries over the associated RCRs in the following order:
If the TRA+  day of use values in result in RCRs &lt;1 without RMMs, they are used.  
If RCRs were &gt;1 and products are used daily, then daily use + RMM autopopulate
If products are not used daily, then the infrequent use values are used  if they have RCR &lt;1;  if RCR was &gt;1 then infrequent use + RMMs are used </t>
  </si>
  <si>
    <t>Columns BY-CB:  final substance-specific RCRs including RMMs</t>
  </si>
  <si>
    <t>Columns CC-CE:  final substance-specific PECs including RMMs</t>
  </si>
  <si>
    <t>To promote consistency, when needed, a set of RMMs has been determined that will result in safe use for a range of DNELs (0.1 - &gt;20 mg/kg/day for oral and dermal systemic DNELs 0.5 - &gt; 100 mg/m3 for systemic inhalation DNELs).  This range of DNELs has been divided into a set of 4 bands (i.e. control bands), each with a set of  RMMs that result in an RCR &lt; target RCR specified.   The spreadsheet selects the appropriate band based upon the lowest DNEL for exposure pathways relevant to the scenario.</t>
  </si>
  <si>
    <t xml:space="preserve"> p.7 of February 2012 version 2.1 of Chapter R-15: Consumer Exposure Estimation:</t>
  </si>
  <si>
    <r>
      <t xml:space="preserve">Step 1. </t>
    </r>
    <r>
      <rPr>
        <sz val="10"/>
        <rFont val="Arial"/>
        <family val="0"/>
      </rPr>
      <t>Select CSA workbook</t>
    </r>
  </si>
  <si>
    <t>Sheet automatically calculates Predicted Exposures and RCRs for the TRA and TRA+ conditions;  where TRA+ conditions result in RCRs &gt; target RCR, sheet automatically defines RMMs needed to meet RCR&lt;target RCR, except for fuels.  The substance specific PECs and  RCRs are based upon operational conditions of the TRA+ and additional RMMs if needed. Information on operating conditions and RMMs, if needed, is automatically populated into the narrative.</t>
  </si>
  <si>
    <t xml:space="preserve">The following 9 worksheets are included:  user guidance (general guidance);  picklist - list of PCs, etc.; standard phrases - list of phrases used for operational conditions and risk management measures; then a sheet for chemical safety assessment - place where DNEL and substance specific information is entered, contains OCs, RMMs, PECs, and RCRs; then a narrative sheet; a sheet of reference citations; and sheets describing the autopopulation functions for OCs and RMMs. </t>
  </si>
  <si>
    <t>Columns BL - BU:  substance-specific RCRs calculated for TRA+ conditions (no RMMs)</t>
  </si>
  <si>
    <t>Columns CG-GS:  used in development of the needed RMM set for each of the 4 control bands; can be viewed by clicking on the "+" sign on the top</t>
  </si>
  <si>
    <r>
      <t>Step 2.</t>
    </r>
    <r>
      <rPr>
        <sz val="10"/>
        <rFont val="Arial"/>
        <family val="0"/>
      </rPr>
      <t xml:space="preserve"> Enter substance name in cell S3,  vapor pressure in cell Y3, general population DNELs in cells S5 through AC5;  (enter molecular weight in cell U3 if want to utilize substance-specific saturated vapor concentration as an upper bound. </t>
    </r>
    <r>
      <rPr>
        <b/>
        <sz val="10"/>
        <color indexed="12"/>
        <rFont val="Arial"/>
        <family val="2"/>
      </rPr>
      <t>Note, saturated vapor concentration has been applied within the tool as an upper bound for all inhalation exposures.</t>
    </r>
    <r>
      <rPr>
        <sz val="10"/>
        <rFont val="Arial"/>
        <family val="0"/>
      </rPr>
      <t xml:space="preserve">).   Delete values for unnecessary DNELs with DELETE key.  </t>
    </r>
  </si>
  <si>
    <t>Columns BA-BK:  PECs based upon TRA+.   Exposures are given as day of use and chronic (considers how many days a year use occurs) for dermal and oral.  For inhalation, exposures are calculated as the concentration during the exposure event, the concentration averaged for the day of exposure (to be consistent with systemic DNEL basis) and also the chronic concentration averaged considering how many days a year use occurs.   (based upon p.7 of February 2012 version 2.1 of Chapter R-15: Consumer Exposure Estimation)</t>
  </si>
  <si>
    <t>Air Exchange Rate (1/hour)</t>
  </si>
  <si>
    <r>
      <t>Room Volume (m</t>
    </r>
    <r>
      <rPr>
        <b/>
        <vertAlign val="superscript"/>
        <sz val="10"/>
        <rFont val="Arial"/>
        <family val="2"/>
      </rPr>
      <t>3</t>
    </r>
    <r>
      <rPr>
        <b/>
        <sz val="10"/>
        <rFont val="Arial"/>
        <family val="2"/>
      </rPr>
      <t>)</t>
    </r>
  </si>
  <si>
    <t>Multiplier</t>
  </si>
  <si>
    <t xml:space="preserve">conservative estimate assumes as daily use </t>
  </si>
  <si>
    <t xml:space="preserve"> RIVM do it yourself use, parquet and floor glue all &lt; 1/yr, here used 1/yr </t>
  </si>
  <si>
    <t>TRA  default, daily</t>
  </si>
  <si>
    <t xml:space="preserve">TRA  default, daily </t>
  </si>
  <si>
    <t>TRA default, 4 times per day</t>
  </si>
  <si>
    <t xml:space="preserve">TRA default, daily </t>
  </si>
  <si>
    <t xml:space="preserve">estimated as conservative frequency used in a garage, daily </t>
  </si>
  <si>
    <t xml:space="preserve">RIVM 2 uses per year </t>
  </si>
  <si>
    <t xml:space="preserve">infrequent use, est 12/yr </t>
  </si>
  <si>
    <t xml:space="preserve">est. as 1 per week </t>
  </si>
  <si>
    <t xml:space="preserve">est. as 1 per two weeks </t>
  </si>
  <si>
    <t xml:space="preserve">est. as daily </t>
  </si>
  <si>
    <t xml:space="preserve">PC31 value </t>
  </si>
  <si>
    <t xml:space="preserve">PC12 TRA  default, daily </t>
  </si>
  <si>
    <t>Common TRA defaults, daily</t>
  </si>
  <si>
    <t xml:space="preserve">daily use assumed </t>
  </si>
  <si>
    <t>EFH 2009 mean use frequency, table 17-37 liquid all purpose cleaner, 0.35</t>
  </si>
  <si>
    <t xml:space="preserve">EPA EFAST model motor oil, 4 times per year </t>
  </si>
  <si>
    <t>EFH 2009 Table 17-4, 10 times per year</t>
  </si>
  <si>
    <t>EFH 2009 spray lubricants for cars, 75th percentile, 6 times per year</t>
  </si>
  <si>
    <t>EFH 2009 spray shoe polish, 75th percentile, 8 times per year</t>
  </si>
  <si>
    <t>USEPA 2009 draft EFH Table 17-4, 75th percentile adhesive use, 6 times per year</t>
  </si>
  <si>
    <t>RIVM paint fact sheet, 4 times per year</t>
  </si>
  <si>
    <t xml:space="preserve"> RIVM paint fact sheet, 6 times per year</t>
  </si>
  <si>
    <t>EPA EFH 75th percentile table 17-4 paint removers, 3 times per year</t>
  </si>
  <si>
    <t xml:space="preserve">RIVM cleaning products factsheet, 26 times per year </t>
  </si>
  <si>
    <t xml:space="preserve"> RCR  (all routes )</t>
  </si>
  <si>
    <t>RCR &lt; target RCR (0.9, 0.5, or 0.2)</t>
  </si>
  <si>
    <t>RCR &gt; target RCR (0.9, 0.5, or 0.2)</t>
  </si>
  <si>
    <t>DNEL band has been renamed as control band.</t>
  </si>
  <si>
    <t>To be consistent with ECHA and ECETOC TRA3.1, the air exchange rate for outdoor scenarios has been updated from 0.6 1/hr to to 2.5 1/hr</t>
  </si>
  <si>
    <t>Users now can select one of the three target RCRs (0.9, 0.5, 0.2) in cell BZ4 to reach different degrees of safety through automatic control banding option.</t>
  </si>
  <si>
    <t>Two additional parameters in table 2b: skin contact area and amount swallowed, have been unlocked.</t>
  </si>
  <si>
    <t xml:space="preserve">Use frequency values in column AD have been updated using the mulitpliers based on the use frequency bands in ECETOC TRAv3.1. </t>
  </si>
  <si>
    <t xml:space="preserve">The tool has been simplified by only using one "CSA" worksheet for exposure assessment and one "Narrative" worksheet to generate narrative. </t>
  </si>
  <si>
    <t xml:space="preserve">ECETOC TRA TIER1+ - exposure modifiers </t>
  </si>
  <si>
    <t>Frequency multiplier based on TRA frequency band: if &lt; 1, only used for chronic assessment</t>
  </si>
  <si>
    <t>TRAv.1 default</t>
  </si>
  <si>
    <t xml:space="preserve">Disclaimer
The European Solvents Industry Group (ESIG) and its User’s trade associations grouped in ESVOC have published the European Solvents Industry Group Generic exposure scenario Risk and Exposure Tool (EGRET). 
This information contained within the tool is to the best of the ESIG/ESVOC’s knowledge and belief accurate and reliable as at the date indicated. However, no representation, warranty or guarantee is made as to its accuracy, reliability or completeness. It is the users’ responsibility to satisfy themselves as to the suitability and completeness of such information for their own particular use(s). This is intended to be a screening tool and is not a substitute for and should not be relied upon in place of appropriate technical advice, more refined knowledge of consumer exposure information, or common sense.
Chemical companies are individually responsible for their respective REACH registrations.
</t>
  </si>
  <si>
    <t xml:space="preserve">Disclaimer:
The European Solvents Industry Group (ESIG) and its User’s trade associations grouped in ESVOC have published the European Solvents Industry Group Generic exposure scenario Risk and Exposure Tool (EGRET). 
This information contained within the tool is to the best of the ESIG/ESVOC’s knowledge and belief accurate and reliable as at the date indicated. However, no representation, warranty or guarantee is made as to its accuracy, reliability or completeness. It is the users’ responsibility to satisfy themselves as to the suitability and completeness of such information for their own particular use(s). This is intended to be a screening tool and is not a substitute for and should not be relied upon in place of appropriate technical advice, more refined knowledge of consumer exposure information, or common sense.
Chemical companies are individually responsible for their respective REACH registrations.
</t>
  </si>
</sst>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quot;\ #,##0;&quot;€&quot;\ \-#,##0"/>
    <numFmt numFmtId="185" formatCode="&quot;€&quot;\ #,##0;[Red]&quot;€&quot;\ \-#,##0"/>
    <numFmt numFmtId="186" formatCode="&quot;€&quot;\ #,##0.00;&quot;€&quot;\ \-#,##0.00"/>
    <numFmt numFmtId="187" formatCode="&quot;€&quot;\ #,##0.00;[Red]&quot;€&quot;\ \-#,##0.00"/>
    <numFmt numFmtId="188" formatCode="_ &quot;€&quot;\ * #,##0_ ;_ &quot;€&quot;\ * \-#,##0_ ;_ &quot;€&quot;\ * &quot;-&quot;_ ;_ @_ "/>
    <numFmt numFmtId="189" formatCode="_ * #,##0_ ;_ * \-#,##0_ ;_ * &quot;-&quot;_ ;_ @_ "/>
    <numFmt numFmtId="190" formatCode="_ &quot;€&quot;\ * #,##0.00_ ;_ &quot;€&quot;\ * \-#,##0.00_ ;_ &quot;€&quot;\ * &quot;-&quot;&quot;?&quot;&quot;?&quot;_ ;_ @_ "/>
    <numFmt numFmtId="191" formatCode="_ * #,##0.00_ ;_ * \-#,##0.00_ ;_ * &quot;-&quot;&quot;?&quot;&quot;?&quot;_ ;_ @_ "/>
    <numFmt numFmtId="192" formatCode="_-&quot;?&quot;* #,##0.00_-;\-&quot;?&quot;* #,##0.00_-;_-&quot;?&quot;* &quot;-&quot;&quot;?&quot;&quot;?&quot;_-;_-@_-"/>
    <numFmt numFmtId="193" formatCode="_-* #,##0.00_-;\-* #,##0.00_-;_-* &quot;-&quot;&quot;?&quot;&quot;?&quot;_-;_-@_-"/>
    <numFmt numFmtId="194" formatCode="&quot;fl&quot;\ #,##0_-;&quot;fl&quot;\ #,##0\-"/>
    <numFmt numFmtId="195" formatCode="&quot;fl&quot;\ #,##0_-;[Red]&quot;fl&quot;\ #,##0\-"/>
    <numFmt numFmtId="196" formatCode="&quot;fl&quot;\ #,##0.00_-;&quot;fl&quot;\ #,##0.00\-"/>
    <numFmt numFmtId="197" formatCode="&quot;fl&quot;\ #,##0.00_-;[Red]&quot;fl&quot;\ #,##0.00\-"/>
    <numFmt numFmtId="198" formatCode="_-&quot;fl&quot;\ * #,##0_-;_-&quot;fl&quot;\ * #,##0\-;_-&quot;fl&quot;\ * &quot;-&quot;_-;_-@_-"/>
    <numFmt numFmtId="199" formatCode="_-* #,##0_-;_-* #,##0\-;_-* &quot;-&quot;_-;_-@_-"/>
    <numFmt numFmtId="200" formatCode="_-&quot;fl&quot;\ * #,##0.00_-;_-&quot;fl&quot;\ * #,##0.00\-;_-&quot;fl&quot;\ * &quot;-&quot;&quot;?&quot;&quot;?&quot;_-;_-@_-"/>
    <numFmt numFmtId="201" formatCode="_-* #,##0.00_-;_-* #,##0.00\-;_-* &quot;-&quot;&quot;?&quot;&quot;?&quot;_-;_-@_-"/>
    <numFmt numFmtId="202" formatCode="_-&quot;£&quot;* #,##0.00_-;\-&quot;£&quot;* #,##0.00_-;_-&quot;£&quot;* &quot;-&quot;&quot;?&quot;&quot;?&quot;_-;_-@_-"/>
    <numFmt numFmtId="203" formatCode="&quot;€&quot;\ #,##0_-;&quot;€&quot;\ #,##0\-"/>
    <numFmt numFmtId="204" formatCode="&quot;€&quot;\ #,##0_-;[Red]&quot;€&quot;\ #,##0\-"/>
    <numFmt numFmtId="205" formatCode="&quot;€&quot;\ #,##0.00_-;&quot;€&quot;\ #,##0.00\-"/>
    <numFmt numFmtId="206" formatCode="&quot;€&quot;\ #,##0.00_-;[Red]&quot;€&quot;\ #,##0.00\-"/>
    <numFmt numFmtId="207" formatCode="_-&quot;€&quot;\ * #,##0_-;_-&quot;€&quot;\ * #,##0\-;_-&quot;€&quot;\ * &quot;-&quot;_-;_-@_-"/>
    <numFmt numFmtId="208" formatCode="_-&quot;€&quot;\ * #,##0.00_-;_-&quot;€&quot;\ * #,##0.00\-;_-&quot;€&quot;\ * &quot;-&quot;&quot;?&quot;&quot;?&quot;_-;_-@_-"/>
    <numFmt numFmtId="209" formatCode="0.0"/>
    <numFmt numFmtId="210" formatCode="0.00000"/>
    <numFmt numFmtId="211" formatCode="0.000"/>
    <numFmt numFmtId="212" formatCode="&quot;Ja&quot;;&quot;Ja&quot;;&quot;Nee&quot;"/>
    <numFmt numFmtId="213" formatCode="&quot;Waar&quot;;&quot;Waar&quot;;&quot;Niet waar&quot;"/>
    <numFmt numFmtId="214" formatCode="&quot;Aan&quot;;&quot;Aan&quot;;&quot;Uit&quot;"/>
    <numFmt numFmtId="215" formatCode="[$€-2]\ #.##000_);[Red]\([$€-2]\ #.##000\)"/>
    <numFmt numFmtId="216" formatCode="&quot;Yes&quot;;&quot;Yes&quot;;&quot;No&quot;"/>
    <numFmt numFmtId="217" formatCode="&quot;True&quot;;&quot;True&quot;;&quot;False&quot;"/>
    <numFmt numFmtId="218" formatCode="&quot;On&quot;;&quot;On&quot;;&quot;Off&quot;"/>
    <numFmt numFmtId="219" formatCode="0.0000"/>
    <numFmt numFmtId="220" formatCode="0.000000"/>
    <numFmt numFmtId="221" formatCode="0.0E+00"/>
    <numFmt numFmtId="222" formatCode="0.E+00"/>
    <numFmt numFmtId="223" formatCode="[$€-2]\ #,##0.00_);[Red]\([$€-2]\ #,##0.00\)"/>
  </numFmts>
  <fonts count="81">
    <font>
      <sz val="10"/>
      <name val="Arial"/>
      <family val="0"/>
    </font>
    <font>
      <sz val="8"/>
      <name val="Arial"/>
      <family val="2"/>
    </font>
    <font>
      <u val="single"/>
      <sz val="10"/>
      <color indexed="12"/>
      <name val="Arial"/>
      <family val="2"/>
    </font>
    <font>
      <u val="single"/>
      <sz val="10"/>
      <color indexed="36"/>
      <name val="Arial"/>
      <family val="2"/>
    </font>
    <font>
      <b/>
      <sz val="11"/>
      <color indexed="8"/>
      <name val="Calibri"/>
      <family val="2"/>
    </font>
    <font>
      <sz val="8"/>
      <color indexed="8"/>
      <name val="Calibri"/>
      <family val="2"/>
    </font>
    <font>
      <b/>
      <sz val="10"/>
      <name val="Arial"/>
      <family val="2"/>
    </font>
    <font>
      <sz val="10"/>
      <color indexed="8"/>
      <name val="Calibri"/>
      <family val="2"/>
    </font>
    <font>
      <b/>
      <sz val="12"/>
      <name val="Arial"/>
      <family val="2"/>
    </font>
    <font>
      <sz val="11"/>
      <color indexed="8"/>
      <name val="Calibri"/>
      <family val="2"/>
    </font>
    <font>
      <sz val="11"/>
      <color indexed="17"/>
      <name val="Calibri"/>
      <family val="2"/>
    </font>
    <font>
      <sz val="10"/>
      <name val="Tahoma"/>
      <family val="2"/>
    </font>
    <font>
      <sz val="10"/>
      <name val="Times New Roman"/>
      <family val="1"/>
    </font>
    <font>
      <b/>
      <sz val="14"/>
      <name val="Arial"/>
      <family val="2"/>
    </font>
    <font>
      <sz val="10"/>
      <color indexed="10"/>
      <name val="Arial"/>
      <family val="2"/>
    </font>
    <font>
      <b/>
      <sz val="10"/>
      <color indexed="10"/>
      <name val="Arial"/>
      <family val="2"/>
    </font>
    <font>
      <b/>
      <sz val="14"/>
      <color indexed="10"/>
      <name val="Arial"/>
      <family val="2"/>
    </font>
    <font>
      <sz val="14"/>
      <color indexed="8"/>
      <name val="Calibri"/>
      <family val="2"/>
    </font>
    <font>
      <sz val="9"/>
      <name val="Tahoma"/>
      <family val="2"/>
    </font>
    <font>
      <sz val="10"/>
      <color indexed="63"/>
      <name val="Arial"/>
      <family val="2"/>
    </font>
    <font>
      <sz val="10"/>
      <color indexed="12"/>
      <name val="Arial"/>
      <family val="2"/>
    </font>
    <font>
      <vertAlign val="superscript"/>
      <sz val="10"/>
      <name val="Arial"/>
      <family val="2"/>
    </font>
    <font>
      <sz val="10"/>
      <color indexed="10"/>
      <name val="Calibri"/>
      <family val="2"/>
    </font>
    <font>
      <b/>
      <sz val="10"/>
      <name val="Tahoma"/>
      <family val="2"/>
    </font>
    <font>
      <b/>
      <sz val="10"/>
      <color indexed="51"/>
      <name val="Arial"/>
      <family val="2"/>
    </font>
    <font>
      <vertAlign val="superscript"/>
      <sz val="10"/>
      <color indexed="63"/>
      <name val="Arial"/>
      <family val="2"/>
    </font>
    <font>
      <b/>
      <sz val="10"/>
      <color indexed="14"/>
      <name val="Tahoma"/>
      <family val="2"/>
    </font>
    <font>
      <sz val="11"/>
      <name val="Arial"/>
      <family val="2"/>
    </font>
    <font>
      <sz val="10"/>
      <name val="Calibri"/>
      <family val="2"/>
    </font>
    <font>
      <sz val="12"/>
      <name val="Arial"/>
      <family val="2"/>
    </font>
    <font>
      <sz val="8"/>
      <color indexed="10"/>
      <name val="Arial"/>
      <family val="2"/>
    </font>
    <font>
      <i/>
      <sz val="10"/>
      <color indexed="12"/>
      <name val="Arial"/>
      <family val="2"/>
    </font>
    <font>
      <b/>
      <i/>
      <sz val="10"/>
      <name val="Arial"/>
      <family val="2"/>
    </font>
    <font>
      <b/>
      <i/>
      <sz val="10"/>
      <color indexed="12"/>
      <name val="Arial"/>
      <family val="2"/>
    </font>
    <font>
      <sz val="10"/>
      <color indexed="12"/>
      <name val="Tahoma"/>
      <family val="2"/>
    </font>
    <font>
      <b/>
      <sz val="10"/>
      <color indexed="12"/>
      <name val="Arial"/>
      <family val="2"/>
    </font>
    <font>
      <b/>
      <sz val="10"/>
      <color indexed="12"/>
      <name val="Tahoma"/>
      <family val="2"/>
    </font>
    <font>
      <b/>
      <i/>
      <sz val="10"/>
      <color indexed="10"/>
      <name val="Helv"/>
      <family val="0"/>
    </font>
    <font>
      <sz val="11"/>
      <color indexed="10"/>
      <name val="Calibri"/>
      <family val="2"/>
    </font>
    <font>
      <b/>
      <sz val="11"/>
      <color indexed="14"/>
      <name val="Calibri"/>
      <family val="2"/>
    </font>
    <font>
      <sz val="10"/>
      <name val="MS Sans Serif"/>
      <family val="2"/>
    </font>
    <font>
      <b/>
      <sz val="16"/>
      <name val="Arial"/>
      <family val="2"/>
    </font>
    <font>
      <b/>
      <sz val="10"/>
      <color indexed="10"/>
      <name val="Calibri"/>
      <family val="2"/>
    </font>
    <font>
      <b/>
      <sz val="10"/>
      <name val="Calibri"/>
      <family val="2"/>
    </font>
    <font>
      <i/>
      <sz val="12"/>
      <name val="Arial"/>
      <family val="2"/>
    </font>
    <font>
      <b/>
      <sz val="11"/>
      <color indexed="12"/>
      <name val="Calibri"/>
      <family val="2"/>
    </font>
    <font>
      <i/>
      <sz val="8"/>
      <name val="Arial"/>
      <family val="2"/>
    </font>
    <font>
      <sz val="11"/>
      <name val="Calibri"/>
      <family val="2"/>
    </font>
    <font>
      <b/>
      <sz val="9"/>
      <name val="Tahoma"/>
      <family val="2"/>
    </font>
    <font>
      <b/>
      <vertAlign val="superscrip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8"/>
      <name val="Arial"/>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42"/>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7"/>
        <bgColor indexed="64"/>
      </patternFill>
    </fill>
    <fill>
      <patternFill patternType="solid">
        <fgColor indexed="65"/>
        <bgColor indexed="64"/>
      </patternFill>
    </fill>
    <fill>
      <patternFill patternType="solid">
        <fgColor indexed="22"/>
        <bgColor indexed="64"/>
      </patternFill>
    </fill>
    <fill>
      <patternFill patternType="gray125">
        <bgColor indexed="9"/>
      </patternFill>
    </fill>
    <fill>
      <patternFill patternType="solid">
        <fgColor indexed="9"/>
        <bgColor indexed="64"/>
      </patternFill>
    </fill>
    <fill>
      <patternFill patternType="solid">
        <fgColor indexed="43"/>
        <bgColor indexed="64"/>
      </patternFill>
    </fill>
    <fill>
      <patternFill patternType="solid">
        <fgColor indexed="51"/>
        <bgColor indexed="64"/>
      </patternFill>
    </fill>
    <fill>
      <patternFill patternType="solid">
        <fgColor indexed="31"/>
        <bgColor indexed="64"/>
      </patternFill>
    </fill>
    <fill>
      <patternFill patternType="solid">
        <fgColor indexed="50"/>
        <bgColor indexed="64"/>
      </patternFill>
    </fill>
    <fill>
      <patternFill patternType="solid">
        <fgColor indexed="13"/>
        <bgColor indexed="64"/>
      </patternFill>
    </fill>
    <fill>
      <patternFill patternType="solid">
        <fgColor indexed="46"/>
        <bgColor indexed="64"/>
      </patternFill>
    </fill>
    <fill>
      <patternFill patternType="solid">
        <fgColor indexed="55"/>
        <bgColor indexed="64"/>
      </patternFill>
    </fill>
    <fill>
      <patternFill patternType="solid">
        <fgColor rgb="FF00B0F0"/>
        <bgColor indexed="64"/>
      </patternFill>
    </fill>
    <fill>
      <patternFill patternType="solid">
        <fgColor rgb="FF00FFFF"/>
        <bgColor indexed="64"/>
      </patternFill>
    </fill>
    <fill>
      <patternFill patternType="solid">
        <fgColor rgb="FFFFFF00"/>
        <bgColor indexed="64"/>
      </patternFill>
    </fill>
    <fill>
      <patternFill patternType="solid">
        <fgColor theme="2" tint="-0.24997000396251678"/>
        <bgColor indexed="64"/>
      </patternFill>
    </fill>
    <fill>
      <patternFill patternType="solid">
        <fgColor rgb="FF00CCFF"/>
        <bgColor indexed="64"/>
      </patternFill>
    </fill>
  </fills>
  <borders count="8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thin"/>
      <bottom/>
    </border>
    <border>
      <left style="thin"/>
      <right/>
      <top style="thin"/>
      <bottom/>
    </border>
    <border>
      <left/>
      <right style="thin"/>
      <top style="thin"/>
      <bottom/>
    </border>
    <border>
      <left style="thin"/>
      <right>
        <color indexed="63"/>
      </right>
      <top>
        <color indexed="63"/>
      </top>
      <bottom>
        <color indexed="63"/>
      </bottom>
    </border>
    <border>
      <left/>
      <right style="thin"/>
      <top/>
      <bottom>
        <color indexed="63"/>
      </bottom>
    </border>
    <border>
      <left style="thin"/>
      <right/>
      <top/>
      <bottom style="thin"/>
    </border>
    <border>
      <left/>
      <right/>
      <top/>
      <bottom style="thin"/>
    </border>
    <border>
      <left/>
      <right style="thin"/>
      <top/>
      <bottom style="thin"/>
    </border>
    <border>
      <left style="medium"/>
      <right>
        <color indexed="63"/>
      </right>
      <top style="medium"/>
      <bottom>
        <color indexed="63"/>
      </bottom>
    </border>
    <border>
      <left/>
      <right/>
      <top style="medium"/>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color indexed="63"/>
      </right>
      <top style="thin"/>
      <bottom style="thin"/>
    </border>
    <border>
      <left/>
      <right/>
      <top style="thin"/>
      <bottom style="thin"/>
    </border>
    <border>
      <left/>
      <right style="thin"/>
      <top style="thin"/>
      <bottom style="thin"/>
    </border>
    <border>
      <left style="thin"/>
      <right style="thin"/>
      <top/>
      <bottom style="thin"/>
    </border>
    <border>
      <left style="thin"/>
      <right style="medium"/>
      <top style="thin"/>
      <bottom style="medium"/>
    </border>
    <border>
      <left style="medium"/>
      <right style="thin"/>
      <top style="thin"/>
      <bottom style="thin"/>
    </border>
    <border>
      <left style="medium"/>
      <right>
        <color indexed="63"/>
      </right>
      <top style="thin"/>
      <bottom style="thin"/>
    </border>
    <border>
      <left style="thin"/>
      <right style="medium"/>
      <top style="thin"/>
      <bottom style="thin"/>
    </border>
    <border>
      <left style="thin"/>
      <right style="medium"/>
      <top>
        <color indexed="63"/>
      </top>
      <bottom style="thin"/>
    </border>
    <border>
      <left style="medium"/>
      <right style="thin"/>
      <top>
        <color indexed="63"/>
      </top>
      <bottom style="thin"/>
    </border>
    <border>
      <left/>
      <right style="medium"/>
      <top style="thin"/>
      <bottom style="thin"/>
    </border>
    <border>
      <left style="medium"/>
      <right style="thin"/>
      <top style="thin"/>
      <bottom>
        <color indexed="63"/>
      </bottom>
    </border>
    <border>
      <left style="medium"/>
      <right/>
      <top style="thin"/>
      <bottom/>
    </border>
    <border>
      <left style="medium"/>
      <right>
        <color indexed="63"/>
      </right>
      <top>
        <color indexed="63"/>
      </top>
      <bottom style="thin"/>
    </border>
    <border>
      <left style="thin"/>
      <right style="medium"/>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style="medium"/>
    </border>
    <border>
      <left>
        <color indexed="63"/>
      </left>
      <right>
        <color indexed="63"/>
      </right>
      <top style="thin"/>
      <bottom style="medium"/>
    </border>
    <border>
      <left style="thin"/>
      <right style="thin"/>
      <top style="thin"/>
      <bottom style="medium"/>
    </border>
    <border>
      <left>
        <color indexed="63"/>
      </left>
      <right style="medium"/>
      <top style="medium"/>
      <bottom style="thin"/>
    </border>
    <border>
      <left style="medium"/>
      <right style="thin"/>
      <top style="medium"/>
      <bottom style="thin"/>
    </border>
    <border>
      <left/>
      <right/>
      <top style="medium"/>
      <bottom style="thin"/>
    </border>
    <border>
      <left style="thin"/>
      <right style="medium"/>
      <top style="medium"/>
      <bottom style="thin"/>
    </border>
    <border>
      <left style="thin"/>
      <right style="medium"/>
      <top>
        <color indexed="63"/>
      </top>
      <bottom style="medium"/>
    </border>
    <border>
      <left style="thin"/>
      <right>
        <color indexed="63"/>
      </right>
      <top style="medium"/>
      <bottom style="thin"/>
    </border>
    <border>
      <left style="medium"/>
      <right style="thin"/>
      <top style="medium"/>
      <bottom>
        <color indexed="63"/>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color indexed="31"/>
      </left>
      <right style="thin">
        <color indexed="31"/>
      </right>
      <top style="thin">
        <color indexed="31"/>
      </top>
      <bottom style="thin">
        <color indexed="31"/>
      </bottom>
    </border>
    <border>
      <left style="thin">
        <color indexed="31"/>
      </left>
      <right style="thin">
        <color indexed="31"/>
      </right>
      <top style="thin">
        <color indexed="31"/>
      </top>
      <bottom>
        <color indexed="63"/>
      </bottom>
    </border>
    <border>
      <left style="thin"/>
      <right style="thin"/>
      <top style="medium"/>
      <bottom>
        <color indexed="63"/>
      </bottom>
    </border>
    <border>
      <left style="thin"/>
      <right>
        <color indexed="63"/>
      </right>
      <top style="medium"/>
      <bottom>
        <color indexed="63"/>
      </bottom>
    </border>
    <border>
      <left style="thin"/>
      <right style="medium"/>
      <top>
        <color indexed="63"/>
      </top>
      <bottom>
        <color indexed="63"/>
      </bottom>
    </border>
    <border>
      <left style="medium"/>
      <right style="thin"/>
      <top>
        <color indexed="63"/>
      </top>
      <bottom style="medium"/>
    </border>
    <border>
      <left style="thin"/>
      <right style="thin"/>
      <top style="medium"/>
      <bottom style="thin"/>
    </border>
    <border>
      <left style="thin"/>
      <right style="medium"/>
      <top style="medium"/>
      <bottom style="medium"/>
    </border>
    <border>
      <left style="thin"/>
      <right>
        <color indexed="63"/>
      </right>
      <top style="thin"/>
      <bottom style="medium"/>
    </border>
    <border>
      <left style="thin"/>
      <right style="thin"/>
      <top style="medium"/>
      <bottom style="medium"/>
    </border>
    <border>
      <left style="thin"/>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thin"/>
    </border>
    <border>
      <left style="medium"/>
      <right>
        <color indexed="63"/>
      </right>
      <top style="thin"/>
      <bottom style="medium"/>
    </border>
    <border>
      <left>
        <color indexed="63"/>
      </left>
      <right style="medium"/>
      <top style="thin"/>
      <bottom style="medium"/>
    </border>
    <border>
      <left style="thin">
        <color indexed="31"/>
      </left>
      <right>
        <color indexed="63"/>
      </right>
      <top style="thin">
        <color indexed="31"/>
      </top>
      <bottom style="thin">
        <color indexed="31"/>
      </bottom>
    </border>
    <border>
      <left>
        <color indexed="63"/>
      </left>
      <right style="thin">
        <color indexed="31"/>
      </right>
      <top style="thin">
        <color indexed="31"/>
      </top>
      <bottom style="thin">
        <color indexed="31"/>
      </bottom>
    </border>
    <border>
      <left style="thin">
        <color indexed="31"/>
      </left>
      <right style="thin">
        <color indexed="31"/>
      </right>
      <top>
        <color indexed="63"/>
      </top>
      <bottom>
        <color indexed="63"/>
      </bottom>
    </border>
    <border>
      <left>
        <color indexed="63"/>
      </left>
      <right style="thin"/>
      <top style="medium"/>
      <bottom/>
    </border>
    <border>
      <left>
        <color indexed="63"/>
      </left>
      <right style="thin"/>
      <top>
        <color indexed="63"/>
      </top>
      <bottom style="medium"/>
    </border>
    <border>
      <left style="thin"/>
      <right>
        <color indexed="63"/>
      </right>
      <top>
        <color indexed="63"/>
      </top>
      <bottom style="medium"/>
    </border>
    <border>
      <left style="thin"/>
      <right style="medium"/>
      <top style="medium"/>
      <bottom>
        <color indexed="63"/>
      </bottom>
    </border>
    <border>
      <left/>
      <right style="medium"/>
      <top style="thin"/>
      <bottom/>
    </border>
    <border>
      <left>
        <color indexed="63"/>
      </left>
      <right style="thin"/>
      <top style="thin"/>
      <bottom style="medium"/>
    </border>
    <border>
      <left/>
      <right style="medium"/>
      <top/>
      <bottom style="thin"/>
    </border>
    <border>
      <left style="medium"/>
      <right>
        <color indexed="63"/>
      </right>
      <top style="medium"/>
      <bottom style="thin"/>
    </border>
    <border>
      <left style="medium"/>
      <right style="thin"/>
      <top/>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201" fontId="0" fillId="0" borderId="0" applyFont="0" applyFill="0" applyBorder="0" applyAlignment="0" applyProtection="0"/>
    <xf numFmtId="199" fontId="0" fillId="0" borderId="0" applyFont="0" applyFill="0" applyBorder="0" applyAlignment="0" applyProtection="0"/>
    <xf numFmtId="208" fontId="0" fillId="0" borderId="0" applyFont="0" applyFill="0" applyBorder="0" applyAlignment="0" applyProtection="0"/>
    <xf numFmtId="207" fontId="0" fillId="0" borderId="0" applyFont="0" applyFill="0" applyBorder="0" applyAlignment="0" applyProtection="0"/>
    <xf numFmtId="0" fontId="68" fillId="0" borderId="0" applyNumberFormat="0" applyFill="0" applyBorder="0" applyAlignment="0" applyProtection="0"/>
    <xf numFmtId="0" fontId="3" fillId="0" borderId="0" applyNumberFormat="0" applyFill="0" applyBorder="0" applyAlignment="0" applyProtection="0"/>
    <xf numFmtId="0" fontId="10" fillId="29" borderId="0" applyNumberFormat="0" applyBorder="0" applyAlignment="0" applyProtection="0"/>
    <xf numFmtId="0" fontId="10"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9" fillId="0" borderId="0">
      <alignment/>
      <protection/>
    </xf>
    <xf numFmtId="0" fontId="63" fillId="0" borderId="0">
      <alignment/>
      <protection/>
    </xf>
    <xf numFmtId="0" fontId="9" fillId="0" borderId="0">
      <alignment/>
      <protection/>
    </xf>
    <xf numFmtId="0" fontId="12"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20">
    <xf numFmtId="0" fontId="0" fillId="0" borderId="0" xfId="0" applyAlignment="1">
      <alignment/>
    </xf>
    <xf numFmtId="0" fontId="0" fillId="0" borderId="0" xfId="0" applyBorder="1" applyAlignment="1">
      <alignment/>
    </xf>
    <xf numFmtId="0" fontId="0" fillId="0" borderId="10" xfId="0" applyFont="1" applyFill="1" applyBorder="1" applyAlignment="1">
      <alignment horizontal="center" vertical="top" wrapText="1"/>
    </xf>
    <xf numFmtId="0" fontId="0" fillId="0" borderId="0" xfId="0" applyFont="1" applyAlignment="1">
      <alignment/>
    </xf>
    <xf numFmtId="0" fontId="6" fillId="0" borderId="0" xfId="0" applyFont="1" applyAlignment="1">
      <alignment/>
    </xf>
    <xf numFmtId="0" fontId="0" fillId="0" borderId="10" xfId="0" applyBorder="1" applyAlignment="1">
      <alignment/>
    </xf>
    <xf numFmtId="0" fontId="23" fillId="0" borderId="10" xfId="0" applyFont="1" applyFill="1" applyBorder="1" applyAlignment="1">
      <alignment vertical="center" wrapText="1"/>
    </xf>
    <xf numFmtId="0" fontId="23" fillId="0" borderId="10" xfId="0" applyFont="1" applyBorder="1" applyAlignment="1">
      <alignment horizontal="left" vertical="center" wrapText="1"/>
    </xf>
    <xf numFmtId="0" fontId="6" fillId="0" borderId="10" xfId="0" applyFont="1" applyFill="1" applyBorder="1" applyAlignment="1">
      <alignment vertical="center" wrapText="1"/>
    </xf>
    <xf numFmtId="0" fontId="23" fillId="0" borderId="10" xfId="0" applyFont="1" applyFill="1" applyBorder="1" applyAlignment="1">
      <alignment vertical="top" wrapText="1"/>
    </xf>
    <xf numFmtId="0" fontId="0" fillId="0" borderId="0" xfId="0" applyFont="1" applyFill="1" applyBorder="1" applyAlignment="1">
      <alignment horizontal="center" vertical="top" wrapText="1"/>
    </xf>
    <xf numFmtId="0" fontId="0" fillId="0" borderId="0" xfId="0" applyFont="1" applyFill="1" applyAlignment="1">
      <alignment/>
    </xf>
    <xf numFmtId="0" fontId="0" fillId="0" borderId="11" xfId="0" applyFont="1" applyFill="1" applyBorder="1" applyAlignment="1">
      <alignment horizontal="center" vertical="top" wrapText="1"/>
    </xf>
    <xf numFmtId="0" fontId="0" fillId="0" borderId="12" xfId="0" applyFont="1" applyBorder="1" applyAlignment="1">
      <alignment/>
    </xf>
    <xf numFmtId="0" fontId="0" fillId="0" borderId="11" xfId="0" applyBorder="1" applyAlignment="1">
      <alignment/>
    </xf>
    <xf numFmtId="0" fontId="0" fillId="0" borderId="13" xfId="0" applyBorder="1" applyAlignment="1">
      <alignment/>
    </xf>
    <xf numFmtId="0" fontId="0" fillId="0" borderId="14" xfId="0" applyFont="1" applyBorder="1" applyAlignment="1">
      <alignment/>
    </xf>
    <xf numFmtId="0" fontId="0" fillId="0" borderId="15" xfId="0" applyBorder="1" applyAlignment="1">
      <alignment/>
    </xf>
    <xf numFmtId="0" fontId="0" fillId="0" borderId="0" xfId="0" applyFont="1" applyBorder="1" applyAlignment="1">
      <alignment/>
    </xf>
    <xf numFmtId="0" fontId="0" fillId="0" borderId="15" xfId="0" applyFont="1" applyBorder="1" applyAlignment="1">
      <alignment/>
    </xf>
    <xf numFmtId="0" fontId="0" fillId="0" borderId="16" xfId="0" applyFont="1" applyBorder="1" applyAlignment="1">
      <alignment/>
    </xf>
    <xf numFmtId="0" fontId="0" fillId="0" borderId="17" xfId="0" applyBorder="1" applyAlignment="1">
      <alignment/>
    </xf>
    <xf numFmtId="0" fontId="0" fillId="0" borderId="18" xfId="0" applyFont="1" applyBorder="1" applyAlignment="1">
      <alignment/>
    </xf>
    <xf numFmtId="0" fontId="0" fillId="0" borderId="0" xfId="0" applyAlignment="1">
      <alignment wrapText="1"/>
    </xf>
    <xf numFmtId="0" fontId="37" fillId="0" borderId="0" xfId="0" applyFont="1" applyAlignment="1">
      <alignment wrapText="1"/>
    </xf>
    <xf numFmtId="0" fontId="4" fillId="0" borderId="0" xfId="60" applyFont="1">
      <alignment/>
      <protection/>
    </xf>
    <xf numFmtId="0" fontId="9" fillId="0" borderId="0" xfId="60">
      <alignment/>
      <protection/>
    </xf>
    <xf numFmtId="0" fontId="9" fillId="0" borderId="19" xfId="60" applyBorder="1">
      <alignment/>
      <protection/>
    </xf>
    <xf numFmtId="0" fontId="9" fillId="0" borderId="20" xfId="60" applyBorder="1">
      <alignment/>
      <protection/>
    </xf>
    <xf numFmtId="0" fontId="9" fillId="0" borderId="21" xfId="60" applyBorder="1">
      <alignment/>
      <protection/>
    </xf>
    <xf numFmtId="0" fontId="9" fillId="0" borderId="22" xfId="60" applyBorder="1">
      <alignment/>
      <protection/>
    </xf>
    <xf numFmtId="0" fontId="9" fillId="0" borderId="0" xfId="60" applyBorder="1">
      <alignment/>
      <protection/>
    </xf>
    <xf numFmtId="0" fontId="9" fillId="0" borderId="23" xfId="60" applyBorder="1">
      <alignment/>
      <protection/>
    </xf>
    <xf numFmtId="0" fontId="4" fillId="0" borderId="12" xfId="60" applyFont="1" applyBorder="1">
      <alignment/>
      <protection/>
    </xf>
    <xf numFmtId="0" fontId="9" fillId="0" borderId="11" xfId="60" applyBorder="1">
      <alignment/>
      <protection/>
    </xf>
    <xf numFmtId="0" fontId="9" fillId="0" borderId="13" xfId="60" applyBorder="1">
      <alignment/>
      <protection/>
    </xf>
    <xf numFmtId="0" fontId="9" fillId="0" borderId="14" xfId="60" applyBorder="1">
      <alignment/>
      <protection/>
    </xf>
    <xf numFmtId="0" fontId="9" fillId="0" borderId="15" xfId="60" applyBorder="1">
      <alignment/>
      <protection/>
    </xf>
    <xf numFmtId="0" fontId="0" fillId="0" borderId="14" xfId="60" applyFont="1" applyBorder="1">
      <alignment/>
      <protection/>
    </xf>
    <xf numFmtId="0" fontId="9" fillId="0" borderId="16" xfId="60" applyBorder="1">
      <alignment/>
      <protection/>
    </xf>
    <xf numFmtId="0" fontId="9" fillId="0" borderId="17" xfId="60" applyBorder="1">
      <alignment/>
      <protection/>
    </xf>
    <xf numFmtId="0" fontId="9" fillId="0" borderId="18" xfId="60" applyBorder="1">
      <alignment/>
      <protection/>
    </xf>
    <xf numFmtId="0" fontId="4" fillId="0" borderId="0" xfId="60" applyFont="1" applyBorder="1">
      <alignment/>
      <protection/>
    </xf>
    <xf numFmtId="0" fontId="4" fillId="0" borderId="0" xfId="60" applyFont="1" applyBorder="1" applyAlignment="1">
      <alignment wrapText="1"/>
      <protection/>
    </xf>
    <xf numFmtId="0" fontId="9" fillId="0" borderId="24" xfId="60" applyBorder="1">
      <alignment/>
      <protection/>
    </xf>
    <xf numFmtId="0" fontId="9" fillId="0" borderId="25" xfId="60" applyBorder="1">
      <alignment/>
      <protection/>
    </xf>
    <xf numFmtId="0" fontId="9" fillId="0" borderId="26" xfId="60" applyBorder="1">
      <alignment/>
      <protection/>
    </xf>
    <xf numFmtId="0" fontId="9" fillId="0" borderId="27" xfId="60" applyBorder="1">
      <alignment/>
      <protection/>
    </xf>
    <xf numFmtId="0" fontId="9" fillId="0" borderId="28" xfId="60" applyBorder="1">
      <alignment/>
      <protection/>
    </xf>
    <xf numFmtId="0" fontId="9" fillId="0" borderId="29" xfId="60" applyBorder="1">
      <alignment/>
      <protection/>
    </xf>
    <xf numFmtId="0" fontId="9" fillId="0" borderId="30" xfId="60" applyBorder="1">
      <alignment/>
      <protection/>
    </xf>
    <xf numFmtId="0" fontId="9" fillId="0" borderId="31" xfId="60" applyBorder="1">
      <alignment/>
      <protection/>
    </xf>
    <xf numFmtId="0" fontId="9" fillId="0" borderId="32" xfId="60" applyBorder="1">
      <alignment/>
      <protection/>
    </xf>
    <xf numFmtId="0" fontId="39" fillId="0" borderId="0" xfId="60" applyFont="1" applyBorder="1">
      <alignment/>
      <protection/>
    </xf>
    <xf numFmtId="0" fontId="4" fillId="0" borderId="17" xfId="60" applyFont="1" applyBorder="1">
      <alignment/>
      <protection/>
    </xf>
    <xf numFmtId="0" fontId="9" fillId="0" borderId="12" xfId="60" applyBorder="1">
      <alignment/>
      <protection/>
    </xf>
    <xf numFmtId="0" fontId="4" fillId="0" borderId="14" xfId="60" applyFont="1" applyBorder="1">
      <alignment/>
      <protection/>
    </xf>
    <xf numFmtId="0" fontId="0" fillId="0" borderId="0" xfId="60" applyFont="1" applyBorder="1">
      <alignment/>
      <protection/>
    </xf>
    <xf numFmtId="0" fontId="0" fillId="0" borderId="25" xfId="60" applyFont="1" applyBorder="1">
      <alignment/>
      <protection/>
    </xf>
    <xf numFmtId="0" fontId="9" fillId="0" borderId="14" xfId="60" applyFont="1" applyBorder="1">
      <alignment/>
      <protection/>
    </xf>
    <xf numFmtId="0" fontId="6" fillId="0" borderId="0" xfId="0" applyFont="1" applyAlignment="1">
      <alignment vertical="top"/>
    </xf>
    <xf numFmtId="0" fontId="32" fillId="0" borderId="0" xfId="0" applyFont="1" applyAlignment="1">
      <alignment wrapText="1"/>
    </xf>
    <xf numFmtId="0" fontId="6" fillId="0" borderId="0" xfId="0" applyFont="1" applyAlignment="1">
      <alignment wrapText="1"/>
    </xf>
    <xf numFmtId="0" fontId="0" fillId="0" borderId="0" xfId="0" applyFont="1" applyAlignment="1">
      <alignment wrapText="1"/>
    </xf>
    <xf numFmtId="0" fontId="0" fillId="0" borderId="10" xfId="0" applyFill="1" applyBorder="1" applyAlignment="1">
      <alignment/>
    </xf>
    <xf numFmtId="0" fontId="0" fillId="0" borderId="0" xfId="0" applyFont="1" applyAlignment="1">
      <alignment vertical="top" wrapText="1"/>
    </xf>
    <xf numFmtId="0" fontId="9" fillId="0" borderId="12" xfId="60" applyFont="1" applyBorder="1">
      <alignment/>
      <protection/>
    </xf>
    <xf numFmtId="0" fontId="9" fillId="0" borderId="11" xfId="60" applyFont="1" applyBorder="1">
      <alignment/>
      <protection/>
    </xf>
    <xf numFmtId="0" fontId="9" fillId="0" borderId="13" xfId="60" applyFont="1" applyBorder="1">
      <alignment/>
      <protection/>
    </xf>
    <xf numFmtId="0" fontId="45" fillId="0" borderId="0" xfId="60" applyFont="1" applyBorder="1" applyAlignment="1">
      <alignment horizontal="center"/>
      <protection/>
    </xf>
    <xf numFmtId="0" fontId="45" fillId="0" borderId="15" xfId="60" applyFont="1" applyBorder="1" applyAlignment="1">
      <alignment horizontal="center"/>
      <protection/>
    </xf>
    <xf numFmtId="0" fontId="9" fillId="0" borderId="15" xfId="60" applyFont="1" applyBorder="1" applyAlignment="1">
      <alignment horizontal="center"/>
      <protection/>
    </xf>
    <xf numFmtId="0" fontId="9" fillId="0" borderId="0" xfId="60" applyFont="1" applyBorder="1" applyAlignment="1">
      <alignment horizontal="center"/>
      <protection/>
    </xf>
    <xf numFmtId="0" fontId="9" fillId="0" borderId="16" xfId="60" applyFont="1" applyBorder="1">
      <alignment/>
      <protection/>
    </xf>
    <xf numFmtId="0" fontId="9" fillId="0" borderId="17" xfId="60" applyFont="1" applyBorder="1" applyAlignment="1">
      <alignment horizontal="center"/>
      <protection/>
    </xf>
    <xf numFmtId="0" fontId="45" fillId="0" borderId="17" xfId="60" applyFont="1" applyBorder="1" applyAlignment="1">
      <alignment horizontal="center"/>
      <protection/>
    </xf>
    <xf numFmtId="0" fontId="9" fillId="0" borderId="18" xfId="60" applyFont="1" applyBorder="1" applyAlignment="1">
      <alignment horizontal="center"/>
      <protection/>
    </xf>
    <xf numFmtId="0" fontId="0" fillId="0" borderId="0" xfId="0" applyAlignment="1" applyProtection="1">
      <alignment/>
      <protection locked="0"/>
    </xf>
    <xf numFmtId="209" fontId="0" fillId="33" borderId="10" xfId="65" applyNumberFormat="1" applyFont="1" applyFill="1" applyBorder="1" applyAlignment="1" applyProtection="1">
      <alignment horizontal="center" vertical="center"/>
      <protection locked="0"/>
    </xf>
    <xf numFmtId="0" fontId="0" fillId="33" borderId="10" xfId="0" applyFill="1" applyBorder="1" applyAlignment="1" applyProtection="1">
      <alignment horizontal="center" vertical="center" wrapText="1"/>
      <protection locked="0"/>
    </xf>
    <xf numFmtId="209" fontId="6" fillId="34" borderId="10" xfId="65" applyNumberFormat="1" applyFont="1" applyFill="1" applyBorder="1" applyAlignment="1" applyProtection="1">
      <alignment horizontal="center" vertical="center"/>
      <protection locked="0"/>
    </xf>
    <xf numFmtId="0" fontId="0" fillId="0" borderId="10" xfId="0" applyFont="1" applyFill="1" applyBorder="1" applyAlignment="1" applyProtection="1">
      <alignment horizontal="left" vertical="top" wrapText="1"/>
      <protection locked="0"/>
    </xf>
    <xf numFmtId="0" fontId="0" fillId="34" borderId="10" xfId="65" applyNumberFormat="1" applyFont="1" applyFill="1" applyBorder="1" applyAlignment="1" applyProtection="1">
      <alignment horizontal="center" vertical="center"/>
      <protection locked="0"/>
    </xf>
    <xf numFmtId="209" fontId="0" fillId="34" borderId="10" xfId="65" applyNumberFormat="1" applyFont="1" applyFill="1" applyBorder="1" applyAlignment="1" applyProtection="1">
      <alignment horizontal="center" vertical="center"/>
      <protection locked="0"/>
    </xf>
    <xf numFmtId="209" fontId="0" fillId="34" borderId="33" xfId="65" applyNumberFormat="1" applyFont="1" applyFill="1" applyBorder="1" applyAlignment="1" applyProtection="1">
      <alignment horizontal="center" vertical="center"/>
      <protection locked="0"/>
    </xf>
    <xf numFmtId="0" fontId="0" fillId="0" borderId="32" xfId="0" applyFont="1" applyBorder="1" applyAlignment="1" applyProtection="1">
      <alignment horizontal="left"/>
      <protection locked="0"/>
    </xf>
    <xf numFmtId="1" fontId="0" fillId="0" borderId="32" xfId="0" applyNumberFormat="1" applyFont="1" applyFill="1" applyBorder="1" applyAlignment="1" applyProtection="1">
      <alignment horizontal="left" vertical="top" wrapText="1"/>
      <protection locked="0"/>
    </xf>
    <xf numFmtId="2" fontId="0" fillId="0" borderId="10" xfId="0" applyNumberFormat="1" applyFont="1" applyFill="1" applyBorder="1" applyAlignment="1" applyProtection="1">
      <alignment horizontal="left" vertical="top" wrapText="1"/>
      <protection locked="0"/>
    </xf>
    <xf numFmtId="2" fontId="0" fillId="0" borderId="18" xfId="0" applyNumberFormat="1" applyFont="1" applyFill="1" applyBorder="1" applyAlignment="1" applyProtection="1">
      <alignment horizontal="left" vertical="top" wrapText="1"/>
      <protection locked="0"/>
    </xf>
    <xf numFmtId="2" fontId="0" fillId="0" borderId="18" xfId="0" applyNumberFormat="1" applyFont="1" applyFill="1" applyBorder="1" applyAlignment="1" applyProtection="1">
      <alignment horizontal="center" vertical="top" wrapText="1"/>
      <protection locked="0"/>
    </xf>
    <xf numFmtId="2" fontId="0" fillId="0" borderId="32" xfId="0" applyNumberFormat="1" applyFont="1" applyFill="1" applyBorder="1" applyAlignment="1" applyProtection="1">
      <alignment horizontal="left" vertical="top" wrapText="1"/>
      <protection locked="0"/>
    </xf>
    <xf numFmtId="1" fontId="0" fillId="0" borderId="10" xfId="0" applyNumberFormat="1" applyFont="1" applyFill="1" applyBorder="1" applyAlignment="1" applyProtection="1">
      <alignment horizontal="left" vertical="top" wrapText="1"/>
      <protection locked="0"/>
    </xf>
    <xf numFmtId="0" fontId="0" fillId="0" borderId="10" xfId="0" applyFont="1" applyBorder="1" applyAlignment="1" applyProtection="1">
      <alignment horizontal="left"/>
      <protection locked="0"/>
    </xf>
    <xf numFmtId="2" fontId="0" fillId="0" borderId="31" xfId="0" applyNumberFormat="1" applyFont="1" applyFill="1" applyBorder="1" applyAlignment="1" applyProtection="1">
      <alignment horizontal="left" vertical="top" wrapText="1"/>
      <protection locked="0"/>
    </xf>
    <xf numFmtId="2" fontId="0" fillId="0" borderId="34" xfId="0" applyNumberFormat="1" applyFont="1" applyFill="1" applyBorder="1" applyAlignment="1" applyProtection="1">
      <alignment horizontal="left" vertical="top" wrapText="1"/>
      <protection locked="0"/>
    </xf>
    <xf numFmtId="0" fontId="0" fillId="0" borderId="10" xfId="0" applyFill="1" applyBorder="1" applyAlignment="1" applyProtection="1">
      <alignment horizontal="left" vertical="top" wrapText="1"/>
      <protection locked="0"/>
    </xf>
    <xf numFmtId="0" fontId="0" fillId="0" borderId="10" xfId="0" applyBorder="1" applyAlignment="1" applyProtection="1">
      <alignment/>
      <protection locked="0"/>
    </xf>
    <xf numFmtId="0" fontId="0" fillId="0" borderId="10" xfId="0" applyFill="1" applyBorder="1" applyAlignment="1" applyProtection="1">
      <alignment horizontal="center" vertical="top" wrapText="1"/>
      <protection locked="0"/>
    </xf>
    <xf numFmtId="0" fontId="0" fillId="0" borderId="32" xfId="0" applyBorder="1" applyAlignment="1" applyProtection="1">
      <alignment/>
      <protection locked="0"/>
    </xf>
    <xf numFmtId="1" fontId="0" fillId="0" borderId="29" xfId="0" applyNumberFormat="1" applyFont="1" applyFill="1" applyBorder="1" applyAlignment="1" applyProtection="1">
      <alignment horizontal="left" vertical="top" wrapText="1"/>
      <protection locked="0"/>
    </xf>
    <xf numFmtId="2" fontId="0" fillId="0" borderId="31" xfId="0" applyNumberFormat="1" applyFont="1" applyFill="1" applyBorder="1" applyAlignment="1" applyProtection="1">
      <alignment horizontal="center" vertical="top" wrapText="1"/>
      <protection locked="0"/>
    </xf>
    <xf numFmtId="1" fontId="0" fillId="0" borderId="16" xfId="0" applyNumberFormat="1" applyFont="1" applyFill="1" applyBorder="1" applyAlignment="1" applyProtection="1">
      <alignment horizontal="left" vertical="top" wrapText="1"/>
      <protection locked="0"/>
    </xf>
    <xf numFmtId="1" fontId="0" fillId="0" borderId="16" xfId="0" applyNumberFormat="1" applyFont="1" applyFill="1" applyBorder="1" applyAlignment="1" applyProtection="1">
      <alignment horizontal="center" vertical="top" wrapText="1"/>
      <protection locked="0"/>
    </xf>
    <xf numFmtId="0" fontId="0" fillId="0" borderId="27" xfId="0" applyFont="1" applyBorder="1" applyAlignment="1" applyProtection="1">
      <alignment horizontal="left"/>
      <protection locked="0"/>
    </xf>
    <xf numFmtId="2" fontId="0" fillId="35" borderId="10" xfId="0" applyNumberFormat="1" applyFont="1" applyFill="1" applyBorder="1" applyAlignment="1" applyProtection="1">
      <alignment horizontal="center" vertical="top" wrapText="1"/>
      <protection locked="0"/>
    </xf>
    <xf numFmtId="2" fontId="0" fillId="35" borderId="10" xfId="0" applyNumberFormat="1"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0" fontId="0" fillId="0" borderId="27" xfId="0" applyFill="1" applyBorder="1" applyAlignment="1" applyProtection="1">
      <alignment horizontal="left" vertical="top" wrapText="1"/>
      <protection locked="0"/>
    </xf>
    <xf numFmtId="2" fontId="0" fillId="0" borderId="15" xfId="0" applyNumberFormat="1" applyFont="1" applyFill="1" applyBorder="1" applyAlignment="1" applyProtection="1">
      <alignment horizontal="left" vertical="top" wrapText="1"/>
      <protection locked="0"/>
    </xf>
    <xf numFmtId="1" fontId="0" fillId="0" borderId="12" xfId="0" applyNumberFormat="1" applyFont="1" applyFill="1" applyBorder="1" applyAlignment="1" applyProtection="1">
      <alignment horizontal="left" vertical="top" wrapText="1"/>
      <protection locked="0"/>
    </xf>
    <xf numFmtId="1" fontId="0" fillId="0" borderId="28" xfId="0" applyNumberFormat="1" applyFont="1" applyFill="1" applyBorder="1" applyAlignment="1" applyProtection="1">
      <alignment horizontal="left" vertical="top" wrapText="1"/>
      <protection locked="0"/>
    </xf>
    <xf numFmtId="211" fontId="0" fillId="0" borderId="34" xfId="0" applyNumberFormat="1" applyFont="1" applyFill="1" applyBorder="1" applyAlignment="1" applyProtection="1">
      <alignment horizontal="left" vertical="top" wrapText="1"/>
      <protection locked="0"/>
    </xf>
    <xf numFmtId="2" fontId="0" fillId="0" borderId="10" xfId="0" applyNumberFormat="1" applyFont="1" applyFill="1" applyBorder="1" applyAlignment="1" applyProtection="1">
      <alignment horizontal="center" vertical="top" wrapText="1"/>
      <protection locked="0"/>
    </xf>
    <xf numFmtId="0" fontId="0" fillId="35" borderId="34" xfId="0" applyNumberFormat="1" applyFont="1" applyFill="1" applyBorder="1" applyAlignment="1" applyProtection="1">
      <alignment horizontal="left" vertical="top" wrapText="1"/>
      <protection locked="0"/>
    </xf>
    <xf numFmtId="0" fontId="0" fillId="35" borderId="10" xfId="0" applyFont="1" applyFill="1" applyBorder="1" applyAlignment="1" applyProtection="1">
      <alignment horizontal="left" vertical="top" wrapText="1"/>
      <protection locked="0"/>
    </xf>
    <xf numFmtId="0" fontId="0" fillId="35" borderId="10" xfId="0" applyFill="1" applyBorder="1" applyAlignment="1" applyProtection="1">
      <alignment horizontal="left" vertical="top" wrapText="1"/>
      <protection locked="0"/>
    </xf>
    <xf numFmtId="0" fontId="0" fillId="35" borderId="35" xfId="0" applyNumberFormat="1" applyFont="1" applyFill="1" applyBorder="1" applyAlignment="1" applyProtection="1">
      <alignment horizontal="left" vertical="top" wrapText="1"/>
      <protection locked="0"/>
    </xf>
    <xf numFmtId="2" fontId="0" fillId="0" borderId="27" xfId="0" applyNumberFormat="1" applyFont="1"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xf>
    <xf numFmtId="0" fontId="0" fillId="0" borderId="32" xfId="0" applyFont="1" applyBorder="1" applyAlignment="1" applyProtection="1">
      <alignment horizontal="left"/>
      <protection/>
    </xf>
    <xf numFmtId="2" fontId="0" fillId="0" borderId="10" xfId="0" applyNumberFormat="1" applyFont="1" applyFill="1" applyBorder="1" applyAlignment="1" applyProtection="1">
      <alignment horizontal="left" vertical="top" wrapText="1"/>
      <protection/>
    </xf>
    <xf numFmtId="0" fontId="0" fillId="0" borderId="10" xfId="0" applyFont="1" applyBorder="1" applyAlignment="1" applyProtection="1">
      <alignment horizontal="left"/>
      <protection/>
    </xf>
    <xf numFmtId="2" fontId="0" fillId="0" borderId="18" xfId="0" applyNumberFormat="1" applyFont="1" applyFill="1" applyBorder="1" applyAlignment="1" applyProtection="1">
      <alignment horizontal="left" vertical="top" wrapText="1"/>
      <protection/>
    </xf>
    <xf numFmtId="0" fontId="0" fillId="0" borderId="10" xfId="0" applyBorder="1" applyAlignment="1" applyProtection="1">
      <alignment/>
      <protection/>
    </xf>
    <xf numFmtId="0" fontId="0" fillId="0" borderId="10" xfId="0" applyFill="1" applyBorder="1" applyAlignment="1" applyProtection="1">
      <alignment horizontal="left" vertical="top" wrapText="1"/>
      <protection/>
    </xf>
    <xf numFmtId="2" fontId="0" fillId="0" borderId="31" xfId="0" applyNumberFormat="1" applyFont="1" applyFill="1" applyBorder="1" applyAlignment="1" applyProtection="1">
      <alignment horizontal="left" vertical="top" wrapText="1"/>
      <protection/>
    </xf>
    <xf numFmtId="2" fontId="0" fillId="0" borderId="34" xfId="0" applyNumberFormat="1" applyFont="1" applyFill="1" applyBorder="1" applyAlignment="1" applyProtection="1">
      <alignment horizontal="left" vertical="top" wrapText="1"/>
      <protection/>
    </xf>
    <xf numFmtId="2" fontId="0" fillId="35" borderId="10" xfId="0" applyNumberFormat="1" applyFont="1" applyFill="1" applyBorder="1" applyAlignment="1" applyProtection="1">
      <alignment horizontal="left" vertical="top" wrapText="1"/>
      <protection/>
    </xf>
    <xf numFmtId="0" fontId="0" fillId="0" borderId="27" xfId="0" applyFont="1" applyBorder="1" applyAlignment="1" applyProtection="1">
      <alignment horizontal="left"/>
      <protection/>
    </xf>
    <xf numFmtId="0" fontId="0" fillId="0" borderId="27" xfId="0" applyFont="1" applyFill="1" applyBorder="1" applyAlignment="1" applyProtection="1">
      <alignment horizontal="left" vertical="top" wrapText="1"/>
      <protection/>
    </xf>
    <xf numFmtId="1" fontId="0" fillId="0" borderId="10" xfId="0" applyNumberFormat="1" applyFont="1" applyFill="1" applyBorder="1" applyAlignment="1" applyProtection="1">
      <alignment horizontal="left" vertical="top" wrapText="1"/>
      <protection/>
    </xf>
    <xf numFmtId="2" fontId="0" fillId="0" borderId="32" xfId="0" applyNumberFormat="1" applyFont="1" applyFill="1" applyBorder="1" applyAlignment="1" applyProtection="1">
      <alignment horizontal="left" vertical="top" wrapText="1"/>
      <protection/>
    </xf>
    <xf numFmtId="1" fontId="0" fillId="0" borderId="32" xfId="0" applyNumberFormat="1" applyFont="1" applyFill="1" applyBorder="1" applyAlignment="1" applyProtection="1">
      <alignment horizontal="left" vertical="top" wrapText="1"/>
      <protection/>
    </xf>
    <xf numFmtId="1" fontId="0" fillId="0" borderId="16" xfId="0" applyNumberFormat="1" applyFont="1" applyFill="1" applyBorder="1" applyAlignment="1" applyProtection="1">
      <alignment horizontal="left" vertical="top" wrapText="1"/>
      <protection/>
    </xf>
    <xf numFmtId="1" fontId="0" fillId="0" borderId="29" xfId="0" applyNumberFormat="1" applyFont="1" applyFill="1" applyBorder="1" applyAlignment="1" applyProtection="1">
      <alignment horizontal="left" vertical="top" wrapText="1"/>
      <protection/>
    </xf>
    <xf numFmtId="2" fontId="0" fillId="0" borderId="27" xfId="0" applyNumberFormat="1" applyFont="1" applyFill="1" applyBorder="1" applyAlignment="1" applyProtection="1">
      <alignment horizontal="left" vertical="top" wrapText="1"/>
      <protection/>
    </xf>
    <xf numFmtId="1" fontId="0" fillId="0" borderId="12" xfId="0" applyNumberFormat="1" applyFont="1" applyFill="1" applyBorder="1" applyAlignment="1" applyProtection="1">
      <alignment horizontal="left" vertical="top" wrapText="1"/>
      <protection/>
    </xf>
    <xf numFmtId="0" fontId="0" fillId="0" borderId="0" xfId="0"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Font="1" applyFill="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xf numFmtId="0" fontId="0" fillId="0" borderId="32" xfId="0" applyFont="1" applyFill="1" applyBorder="1" applyAlignment="1" applyProtection="1">
      <alignment horizontal="left" vertical="top" wrapText="1"/>
      <protection/>
    </xf>
    <xf numFmtId="209" fontId="0" fillId="0" borderId="32" xfId="0" applyNumberFormat="1" applyFont="1" applyFill="1" applyBorder="1" applyAlignment="1" applyProtection="1">
      <alignment horizontal="left" vertical="top" wrapText="1"/>
      <protection/>
    </xf>
    <xf numFmtId="0" fontId="15" fillId="0" borderId="0" xfId="65" applyFont="1" applyBorder="1" applyAlignment="1" applyProtection="1">
      <alignment horizontal="left" vertical="top"/>
      <protection/>
    </xf>
    <xf numFmtId="0" fontId="0" fillId="0" borderId="34" xfId="0" applyFont="1" applyFill="1" applyBorder="1" applyAlignment="1" applyProtection="1">
      <alignment horizontal="left" vertical="top" wrapText="1"/>
      <protection/>
    </xf>
    <xf numFmtId="0" fontId="0" fillId="1" borderId="32" xfId="0" applyFont="1" applyFill="1" applyBorder="1" applyAlignment="1" applyProtection="1">
      <alignment horizontal="left" vertical="top" wrapText="1"/>
      <protection/>
    </xf>
    <xf numFmtId="0" fontId="0" fillId="0" borderId="15" xfId="0" applyFont="1" applyFill="1" applyBorder="1" applyAlignment="1" applyProtection="1">
      <alignment horizontal="left" vertical="top" wrapText="1"/>
      <protection/>
    </xf>
    <xf numFmtId="0" fontId="11" fillId="0" borderId="14" xfId="61" applyFont="1" applyFill="1" applyBorder="1" applyAlignment="1" applyProtection="1">
      <alignment horizontal="left" vertical="center" wrapText="1"/>
      <protection/>
    </xf>
    <xf numFmtId="2" fontId="0" fillId="0" borderId="32" xfId="0" applyNumberFormat="1" applyFont="1" applyBorder="1" applyAlignment="1" applyProtection="1">
      <alignment horizontal="left"/>
      <protection/>
    </xf>
    <xf numFmtId="0" fontId="0" fillId="0" borderId="16" xfId="0" applyFont="1" applyBorder="1" applyAlignment="1" applyProtection="1">
      <alignment horizontal="left"/>
      <protection/>
    </xf>
    <xf numFmtId="209" fontId="0" fillId="0" borderId="34" xfId="0" applyNumberFormat="1" applyFont="1" applyFill="1" applyBorder="1" applyAlignment="1" applyProtection="1">
      <alignment horizontal="left" vertical="top" wrapText="1"/>
      <protection/>
    </xf>
    <xf numFmtId="1" fontId="0" fillId="0" borderId="37" xfId="0" applyNumberFormat="1" applyFont="1" applyFill="1" applyBorder="1" applyAlignment="1" applyProtection="1">
      <alignment horizontal="left" vertical="top" wrapText="1"/>
      <protection/>
    </xf>
    <xf numFmtId="2" fontId="6" fillId="0" borderId="38" xfId="0" applyNumberFormat="1" applyFont="1" applyFill="1" applyBorder="1" applyAlignment="1" applyProtection="1">
      <alignment horizontal="left" vertical="top" wrapText="1"/>
      <protection/>
    </xf>
    <xf numFmtId="2" fontId="6" fillId="0" borderId="32" xfId="0" applyNumberFormat="1" applyFont="1" applyFill="1" applyBorder="1" applyAlignment="1" applyProtection="1">
      <alignment horizontal="left" vertical="top" wrapText="1"/>
      <protection/>
    </xf>
    <xf numFmtId="2" fontId="6" fillId="0" borderId="37" xfId="0" applyNumberFormat="1" applyFont="1" applyFill="1" applyBorder="1" applyAlignment="1" applyProtection="1">
      <alignment horizontal="left" vertical="top" wrapText="1"/>
      <protection/>
    </xf>
    <xf numFmtId="0" fontId="0" fillId="0" borderId="10" xfId="0" applyNumberFormat="1" applyFont="1" applyFill="1" applyBorder="1" applyAlignment="1" applyProtection="1">
      <alignment horizontal="left" vertical="top" wrapText="1"/>
      <protection/>
    </xf>
    <xf numFmtId="0" fontId="0" fillId="0" borderId="36" xfId="0" applyNumberFormat="1" applyFont="1" applyFill="1" applyBorder="1" applyAlignment="1" applyProtection="1">
      <alignment horizontal="left" vertical="top" wrapText="1"/>
      <protection/>
    </xf>
    <xf numFmtId="211" fontId="0" fillId="0" borderId="10" xfId="0" applyNumberFormat="1" applyFont="1" applyFill="1" applyBorder="1" applyAlignment="1" applyProtection="1">
      <alignment horizontal="left" vertical="top" wrapText="1"/>
      <protection/>
    </xf>
    <xf numFmtId="2" fontId="0" fillId="0" borderId="36" xfId="0" applyNumberFormat="1" applyFont="1" applyFill="1" applyBorder="1" applyAlignment="1" applyProtection="1">
      <alignment horizontal="left" vertical="top" wrapText="1"/>
      <protection/>
    </xf>
    <xf numFmtId="2" fontId="6" fillId="0" borderId="34" xfId="0" applyNumberFormat="1" applyFont="1" applyFill="1" applyBorder="1" applyAlignment="1" applyProtection="1">
      <alignment horizontal="left" vertical="top" wrapText="1"/>
      <protection/>
    </xf>
    <xf numFmtId="2" fontId="6" fillId="0" borderId="10" xfId="0" applyNumberFormat="1" applyFont="1" applyFill="1" applyBorder="1" applyAlignment="1" applyProtection="1">
      <alignment horizontal="left" vertical="top" wrapText="1"/>
      <protection/>
    </xf>
    <xf numFmtId="2" fontId="6" fillId="0" borderId="31" xfId="0" applyNumberFormat="1" applyFont="1" applyFill="1" applyBorder="1" applyAlignment="1" applyProtection="1">
      <alignment horizontal="left" vertical="top" wrapText="1"/>
      <protection/>
    </xf>
    <xf numFmtId="2" fontId="0" fillId="0" borderId="30" xfId="0" applyNumberFormat="1" applyFont="1" applyFill="1" applyBorder="1" applyAlignment="1" applyProtection="1">
      <alignment horizontal="left" vertical="top" wrapText="1"/>
      <protection/>
    </xf>
    <xf numFmtId="2" fontId="0" fillId="0" borderId="29" xfId="0" applyNumberFormat="1" applyFont="1" applyFill="1" applyBorder="1" applyAlignment="1" applyProtection="1">
      <alignment horizontal="left" vertical="top" wrapText="1"/>
      <protection/>
    </xf>
    <xf numFmtId="2" fontId="0" fillId="0" borderId="10" xfId="0" applyNumberFormat="1" applyFill="1" applyBorder="1" applyAlignment="1" applyProtection="1">
      <alignment horizontal="left" vertical="top" wrapText="1"/>
      <protection/>
    </xf>
    <xf numFmtId="2" fontId="0" fillId="36" borderId="10" xfId="0" applyNumberFormat="1" applyFill="1" applyBorder="1" applyAlignment="1" applyProtection="1">
      <alignment horizontal="left" vertical="top" wrapText="1"/>
      <protection/>
    </xf>
    <xf numFmtId="2" fontId="0" fillId="0" borderId="31" xfId="0" applyNumberFormat="1" applyFill="1" applyBorder="1" applyAlignment="1" applyProtection="1">
      <alignment horizontal="left" vertical="top" wrapText="1"/>
      <protection/>
    </xf>
    <xf numFmtId="2" fontId="0" fillId="0" borderId="30" xfId="0" applyNumberFormat="1" applyFill="1" applyBorder="1" applyAlignment="1" applyProtection="1">
      <alignment horizontal="left" vertical="top" wrapText="1"/>
      <protection/>
    </xf>
    <xf numFmtId="0" fontId="0" fillId="0" borderId="34" xfId="0" applyFill="1" applyBorder="1" applyAlignment="1" applyProtection="1">
      <alignment horizontal="left" vertical="top" wrapText="1"/>
      <protection/>
    </xf>
    <xf numFmtId="2" fontId="0" fillId="0" borderId="39" xfId="0" applyNumberFormat="1" applyFill="1" applyBorder="1" applyAlignment="1" applyProtection="1">
      <alignment horizontal="left" vertical="top" wrapText="1"/>
      <protection/>
    </xf>
    <xf numFmtId="0" fontId="0" fillId="0" borderId="0" xfId="0" applyFont="1" applyFill="1" applyAlignment="1" applyProtection="1">
      <alignment horizontal="left"/>
      <protection/>
    </xf>
    <xf numFmtId="0" fontId="0" fillId="37" borderId="10" xfId="0" applyFont="1" applyFill="1" applyBorder="1" applyAlignment="1" applyProtection="1">
      <alignment horizontal="left" vertical="top" wrapText="1"/>
      <protection/>
    </xf>
    <xf numFmtId="0" fontId="11" fillId="0" borderId="29" xfId="61" applyFont="1" applyFill="1" applyBorder="1" applyAlignment="1" applyProtection="1">
      <alignment horizontal="left" vertical="center" wrapText="1"/>
      <protection/>
    </xf>
    <xf numFmtId="0" fontId="0" fillId="0" borderId="40" xfId="0" applyFont="1" applyFill="1" applyBorder="1" applyAlignment="1" applyProtection="1">
      <alignment horizontal="left" vertical="top" wrapText="1"/>
      <protection/>
    </xf>
    <xf numFmtId="2" fontId="0" fillId="0" borderId="10" xfId="0" applyNumberFormat="1" applyFont="1" applyBorder="1" applyAlignment="1" applyProtection="1">
      <alignment horizontal="left"/>
      <protection/>
    </xf>
    <xf numFmtId="0" fontId="0" fillId="0" borderId="29" xfId="0" applyFont="1" applyBorder="1" applyAlignment="1" applyProtection="1">
      <alignment horizontal="left"/>
      <protection/>
    </xf>
    <xf numFmtId="2" fontId="0" fillId="0" borderId="32" xfId="0" applyNumberFormat="1" applyFont="1" applyFill="1" applyBorder="1" applyAlignment="1" applyProtection="1">
      <alignment horizontal="center" vertical="top" wrapText="1"/>
      <protection/>
    </xf>
    <xf numFmtId="0" fontId="0" fillId="0" borderId="18" xfId="0" applyFont="1" applyFill="1" applyBorder="1" applyAlignment="1" applyProtection="1">
      <alignment horizontal="left" vertical="top" wrapText="1"/>
      <protection/>
    </xf>
    <xf numFmtId="0" fontId="0" fillId="0" borderId="34" xfId="0" applyFont="1" applyBorder="1" applyAlignment="1" applyProtection="1">
      <alignment horizontal="left"/>
      <protection/>
    </xf>
    <xf numFmtId="0" fontId="0" fillId="0" borderId="31" xfId="0" applyNumberFormat="1" applyFont="1" applyFill="1" applyBorder="1" applyAlignment="1" applyProtection="1">
      <alignment horizontal="left" vertical="top" wrapText="1"/>
      <protection/>
    </xf>
    <xf numFmtId="0" fontId="0" fillId="35" borderId="16" xfId="0" applyFont="1" applyFill="1" applyBorder="1" applyAlignment="1" applyProtection="1">
      <alignment horizontal="left" vertical="top" wrapText="1"/>
      <protection/>
    </xf>
    <xf numFmtId="0" fontId="0" fillId="0" borderId="38" xfId="0" applyFont="1" applyBorder="1" applyAlignment="1" applyProtection="1">
      <alignment horizontal="left"/>
      <protection/>
    </xf>
    <xf numFmtId="0" fontId="0" fillId="0" borderId="32" xfId="0" applyFont="1" applyBorder="1" applyAlignment="1" applyProtection="1" quotePrefix="1">
      <alignment horizontal="left"/>
      <protection/>
    </xf>
    <xf numFmtId="2" fontId="0" fillId="0" borderId="37" xfId="0" applyNumberFormat="1" applyFont="1" applyFill="1" applyBorder="1" applyAlignment="1" applyProtection="1">
      <alignment horizontal="left" vertical="top" wrapText="1"/>
      <protection/>
    </xf>
    <xf numFmtId="2" fontId="0" fillId="0" borderId="34" xfId="0" applyNumberFormat="1" applyFill="1" applyBorder="1" applyAlignment="1" applyProtection="1">
      <alignment horizontal="left" vertical="top" wrapText="1"/>
      <protection/>
    </xf>
    <xf numFmtId="0" fontId="0" fillId="0" borderId="10" xfId="0" applyNumberFormat="1" applyFill="1" applyBorder="1" applyAlignment="1" applyProtection="1">
      <alignment horizontal="left" vertical="top" wrapText="1"/>
      <protection/>
    </xf>
    <xf numFmtId="0" fontId="0" fillId="37" borderId="29" xfId="0" applyFont="1" applyFill="1" applyBorder="1" applyAlignment="1" applyProtection="1">
      <alignment horizontal="left" vertical="top" wrapText="1"/>
      <protection/>
    </xf>
    <xf numFmtId="0" fontId="20" fillId="0" borderId="16" xfId="0" applyFont="1" applyFill="1" applyBorder="1" applyAlignment="1" applyProtection="1">
      <alignment horizontal="left" vertical="center" wrapText="1"/>
      <protection/>
    </xf>
    <xf numFmtId="0" fontId="20" fillId="0" borderId="29" xfId="0" applyFont="1" applyFill="1" applyBorder="1" applyAlignment="1" applyProtection="1">
      <alignment horizontal="left" vertical="center" wrapText="1"/>
      <protection/>
    </xf>
    <xf numFmtId="0" fontId="0" fillId="0" borderId="34" xfId="0" applyFont="1" applyFill="1" applyBorder="1" applyAlignment="1" applyProtection="1">
      <alignment horizontal="left" vertical="center" wrapText="1"/>
      <protection/>
    </xf>
    <xf numFmtId="0" fontId="0" fillId="0" borderId="10" xfId="0" applyFont="1" applyFill="1" applyBorder="1" applyAlignment="1" applyProtection="1">
      <alignment horizontal="left" vertical="center" wrapText="1"/>
      <protection/>
    </xf>
    <xf numFmtId="1" fontId="0" fillId="0" borderId="36" xfId="0" applyNumberFormat="1" applyFont="1" applyFill="1" applyBorder="1" applyAlignment="1" applyProtection="1">
      <alignment horizontal="left" vertical="top" wrapText="1"/>
      <protection/>
    </xf>
    <xf numFmtId="1" fontId="0" fillId="35" borderId="10" xfId="0" applyNumberFormat="1" applyFont="1" applyFill="1" applyBorder="1" applyAlignment="1" applyProtection="1">
      <alignment horizontal="left" vertical="top" wrapText="1"/>
      <protection/>
    </xf>
    <xf numFmtId="0" fontId="0" fillId="0" borderId="41" xfId="0" applyFont="1" applyFill="1" applyBorder="1" applyAlignment="1" applyProtection="1">
      <alignment horizontal="left" vertical="top" wrapText="1"/>
      <protection/>
    </xf>
    <xf numFmtId="0" fontId="20" fillId="0" borderId="42" xfId="0" applyFont="1" applyFill="1" applyBorder="1" applyAlignment="1" applyProtection="1">
      <alignment horizontal="left" vertical="center" wrapText="1"/>
      <protection/>
    </xf>
    <xf numFmtId="0" fontId="20" fillId="0" borderId="10" xfId="0" applyFont="1" applyFill="1" applyBorder="1" applyAlignment="1" applyProtection="1">
      <alignment horizontal="left" vertical="center" wrapText="1"/>
      <protection/>
    </xf>
    <xf numFmtId="2" fontId="0" fillId="0" borderId="27" xfId="0" applyNumberFormat="1" applyFill="1" applyBorder="1" applyAlignment="1" applyProtection="1">
      <alignment horizontal="left" vertical="top" wrapText="1"/>
      <protection/>
    </xf>
    <xf numFmtId="0" fontId="0" fillId="0" borderId="27" xfId="0"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2" fontId="0" fillId="35" borderId="36" xfId="0" applyNumberFormat="1" applyFont="1" applyFill="1" applyBorder="1" applyAlignment="1" applyProtection="1">
      <alignment horizontal="left" vertical="top" wrapText="1"/>
      <protection/>
    </xf>
    <xf numFmtId="0" fontId="0" fillId="0" borderId="42" xfId="0" applyFont="1" applyFill="1" applyBorder="1" applyAlignment="1" applyProtection="1">
      <alignment horizontal="left" vertical="top" wrapText="1"/>
      <protection/>
    </xf>
    <xf numFmtId="0" fontId="20" fillId="0" borderId="32" xfId="0" applyFont="1" applyFill="1" applyBorder="1" applyAlignment="1" applyProtection="1">
      <alignment horizontal="left" vertical="top" wrapText="1"/>
      <protection/>
    </xf>
    <xf numFmtId="0" fontId="20" fillId="35" borderId="29" xfId="0" applyFont="1" applyFill="1" applyBorder="1" applyAlignment="1" applyProtection="1">
      <alignment horizontal="left" vertical="top" wrapText="1"/>
      <protection/>
    </xf>
    <xf numFmtId="0" fontId="0" fillId="0" borderId="31" xfId="0" applyFont="1" applyFill="1" applyBorder="1" applyAlignment="1" applyProtection="1">
      <alignment horizontal="left" vertical="top" wrapText="1"/>
      <protection/>
    </xf>
    <xf numFmtId="0" fontId="20" fillId="35" borderId="16" xfId="0" applyFont="1" applyFill="1" applyBorder="1" applyAlignment="1" applyProtection="1">
      <alignment horizontal="left" vertical="top" wrapText="1"/>
      <protection/>
    </xf>
    <xf numFmtId="209" fontId="0" fillId="0" borderId="29" xfId="0" applyNumberFormat="1" applyFont="1" applyBorder="1" applyAlignment="1" applyProtection="1">
      <alignment horizontal="left"/>
      <protection/>
    </xf>
    <xf numFmtId="0" fontId="0" fillId="1" borderId="28" xfId="0" applyFont="1" applyFill="1" applyBorder="1" applyAlignment="1" applyProtection="1">
      <alignment horizontal="left" vertical="top" wrapText="1"/>
      <protection/>
    </xf>
    <xf numFmtId="0" fontId="20" fillId="35" borderId="14" xfId="0" applyFont="1" applyFill="1" applyBorder="1" applyAlignment="1" applyProtection="1">
      <alignment horizontal="left" vertical="top" wrapText="1"/>
      <protection/>
    </xf>
    <xf numFmtId="0" fontId="0" fillId="0" borderId="40" xfId="0" applyFont="1" applyBorder="1" applyAlignment="1" applyProtection="1">
      <alignment horizontal="left"/>
      <protection/>
    </xf>
    <xf numFmtId="0" fontId="0" fillId="0" borderId="12" xfId="0" applyFont="1" applyBorder="1" applyAlignment="1" applyProtection="1">
      <alignment horizontal="left"/>
      <protection/>
    </xf>
    <xf numFmtId="2" fontId="0" fillId="0" borderId="28" xfId="0" applyNumberFormat="1"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2" fontId="0" fillId="0" borderId="12" xfId="0" applyNumberFormat="1" applyFont="1" applyFill="1" applyBorder="1" applyAlignment="1" applyProtection="1">
      <alignment horizontal="left" vertical="top" wrapText="1"/>
      <protection/>
    </xf>
    <xf numFmtId="0" fontId="0" fillId="0" borderId="43" xfId="0" applyFont="1" applyFill="1" applyBorder="1" applyAlignment="1" applyProtection="1">
      <alignment horizontal="left" vertical="top" wrapText="1"/>
      <protection/>
    </xf>
    <xf numFmtId="2" fontId="0" fillId="0" borderId="28" xfId="0" applyNumberFormat="1" applyFont="1" applyFill="1" applyBorder="1" applyAlignment="1" applyProtection="1">
      <alignment horizontal="center" vertical="top" wrapText="1"/>
      <protection/>
    </xf>
    <xf numFmtId="0" fontId="11" fillId="38" borderId="29" xfId="61" applyFont="1" applyFill="1" applyBorder="1" applyAlignment="1" applyProtection="1">
      <alignment horizontal="left" vertical="top" wrapText="1"/>
      <protection/>
    </xf>
    <xf numFmtId="2" fontId="0" fillId="0" borderId="10" xfId="0" applyNumberFormat="1" applyFont="1" applyFill="1" applyBorder="1" applyAlignment="1" applyProtection="1">
      <alignment horizontal="center" vertical="top" wrapText="1"/>
      <protection/>
    </xf>
    <xf numFmtId="209" fontId="0" fillId="0" borderId="10" xfId="0" applyNumberFormat="1" applyFont="1" applyBorder="1" applyAlignment="1" applyProtection="1">
      <alignment horizontal="left"/>
      <protection/>
    </xf>
    <xf numFmtId="0" fontId="0" fillId="0" borderId="32" xfId="0" applyNumberFormat="1" applyFont="1" applyFill="1" applyBorder="1" applyAlignment="1" applyProtection="1">
      <alignment horizontal="left" vertical="top" wrapText="1"/>
      <protection/>
    </xf>
    <xf numFmtId="0" fontId="11" fillId="38" borderId="12" xfId="61" applyFont="1" applyFill="1" applyBorder="1" applyAlignment="1" applyProtection="1">
      <alignment horizontal="left" vertical="top" wrapText="1"/>
      <protection/>
    </xf>
    <xf numFmtId="0" fontId="0" fillId="38" borderId="10" xfId="0" applyFont="1" applyFill="1" applyBorder="1" applyAlignment="1" applyProtection="1">
      <alignment horizontal="left" vertical="top" wrapText="1"/>
      <protection/>
    </xf>
    <xf numFmtId="0" fontId="0" fillId="37" borderId="12" xfId="0" applyFont="1" applyFill="1" applyBorder="1" applyAlignment="1" applyProtection="1">
      <alignment horizontal="left" vertical="top" wrapText="1"/>
      <protection/>
    </xf>
    <xf numFmtId="0" fontId="20" fillId="38" borderId="27" xfId="0" applyFont="1" applyFill="1" applyBorder="1" applyAlignment="1" applyProtection="1">
      <alignment horizontal="left" vertical="top" wrapText="1"/>
      <protection/>
    </xf>
    <xf numFmtId="0" fontId="20" fillId="0" borderId="29" xfId="0" applyFont="1" applyBorder="1" applyAlignment="1" applyProtection="1">
      <alignment horizontal="left" wrapText="1"/>
      <protection/>
    </xf>
    <xf numFmtId="0" fontId="0" fillId="0" borderId="27" xfId="0" applyFont="1" applyFill="1" applyBorder="1" applyAlignment="1" applyProtection="1">
      <alignment horizontal="left" vertical="center" wrapText="1"/>
      <protection/>
    </xf>
    <xf numFmtId="0" fontId="20" fillId="38" borderId="40" xfId="0" applyFont="1" applyFill="1" applyBorder="1" applyAlignment="1" applyProtection="1">
      <alignment horizontal="left" vertical="top" wrapText="1"/>
      <protection/>
    </xf>
    <xf numFmtId="0" fontId="20" fillId="0" borderId="10" xfId="0" applyFont="1" applyBorder="1" applyAlignment="1" applyProtection="1">
      <alignment horizontal="left" wrapText="1"/>
      <protection/>
    </xf>
    <xf numFmtId="0" fontId="0" fillId="0" borderId="0" xfId="0" applyFont="1" applyFill="1" applyBorder="1" applyAlignment="1" applyProtection="1">
      <alignment horizontal="left"/>
      <protection/>
    </xf>
    <xf numFmtId="209" fontId="0" fillId="35" borderId="10" xfId="0" applyNumberFormat="1" applyFont="1" applyFill="1" applyBorder="1" applyAlignment="1" applyProtection="1">
      <alignment horizontal="left" vertical="top" wrapText="1"/>
      <protection/>
    </xf>
    <xf numFmtId="211" fontId="0" fillId="35" borderId="10" xfId="0" applyNumberFormat="1" applyFont="1" applyFill="1" applyBorder="1" applyAlignment="1" applyProtection="1">
      <alignment horizontal="left" vertical="top" wrapText="1"/>
      <protection/>
    </xf>
    <xf numFmtId="0" fontId="0" fillId="0" borderId="40" xfId="0" applyBorder="1" applyAlignment="1" applyProtection="1">
      <alignment horizontal="left"/>
      <protection/>
    </xf>
    <xf numFmtId="0" fontId="0" fillId="0" borderId="27" xfId="0" applyBorder="1" applyAlignment="1" applyProtection="1">
      <alignment horizontal="left"/>
      <protection/>
    </xf>
    <xf numFmtId="0" fontId="0" fillId="0" borderId="12" xfId="0" applyBorder="1" applyAlignment="1" applyProtection="1">
      <alignment horizontal="left"/>
      <protection/>
    </xf>
    <xf numFmtId="0" fontId="14" fillId="0" borderId="10" xfId="0" applyFont="1" applyFill="1" applyBorder="1" applyAlignment="1" applyProtection="1">
      <alignment horizontal="left" vertical="top" wrapText="1"/>
      <protection/>
    </xf>
    <xf numFmtId="0" fontId="14" fillId="0" borderId="34" xfId="0" applyFont="1" applyFill="1" applyBorder="1" applyAlignment="1" applyProtection="1">
      <alignment horizontal="left" vertical="top" wrapText="1"/>
      <protection/>
    </xf>
    <xf numFmtId="0" fontId="0" fillId="0" borderId="0" xfId="0" applyFill="1" applyBorder="1" applyAlignment="1" applyProtection="1">
      <alignment horizontal="left"/>
      <protection/>
    </xf>
    <xf numFmtId="0" fontId="34" fillId="38" borderId="29" xfId="61" applyFont="1" applyFill="1" applyBorder="1" applyAlignment="1" applyProtection="1">
      <alignment horizontal="left" vertical="top" wrapText="1"/>
      <protection/>
    </xf>
    <xf numFmtId="0" fontId="34" fillId="0" borderId="29" xfId="61" applyFont="1" applyFill="1" applyBorder="1" applyAlignment="1" applyProtection="1">
      <alignment horizontal="left" vertical="center" wrapText="1"/>
      <protection/>
    </xf>
    <xf numFmtId="0" fontId="0" fillId="0" borderId="34" xfId="0" applyNumberFormat="1" applyFont="1" applyFill="1" applyBorder="1" applyAlignment="1" applyProtection="1">
      <alignment horizontal="left" vertical="top" wrapText="1"/>
      <protection/>
    </xf>
    <xf numFmtId="0" fontId="20" fillId="38" borderId="31" xfId="0" applyFont="1" applyFill="1" applyBorder="1" applyAlignment="1" applyProtection="1">
      <alignment horizontal="left" vertical="top" wrapText="1"/>
      <protection/>
    </xf>
    <xf numFmtId="0" fontId="0" fillId="38" borderId="34" xfId="0" applyFont="1" applyFill="1" applyBorder="1" applyAlignment="1" applyProtection="1">
      <alignment horizontal="left" vertical="top" wrapText="1"/>
      <protection/>
    </xf>
    <xf numFmtId="0" fontId="20" fillId="38" borderId="13" xfId="0" applyFont="1" applyFill="1" applyBorder="1" applyAlignment="1" applyProtection="1">
      <alignment horizontal="left" vertical="top" wrapText="1"/>
      <protection/>
    </xf>
    <xf numFmtId="0" fontId="0" fillId="37" borderId="27" xfId="0" applyFont="1" applyFill="1" applyBorder="1" applyAlignment="1" applyProtection="1">
      <alignment horizontal="left" vertical="top" wrapText="1"/>
      <protection/>
    </xf>
    <xf numFmtId="0" fontId="34" fillId="0" borderId="12" xfId="61"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top" wrapText="1"/>
      <protection/>
    </xf>
    <xf numFmtId="2" fontId="0" fillId="0" borderId="43" xfId="0" applyNumberFormat="1" applyFont="1" applyFill="1" applyBorder="1" applyAlignment="1" applyProtection="1">
      <alignment horizontal="left" vertical="top" wrapText="1"/>
      <protection/>
    </xf>
    <xf numFmtId="0" fontId="0" fillId="38" borderId="31" xfId="0" applyFont="1" applyFill="1" applyBorder="1" applyAlignment="1" applyProtection="1">
      <alignment horizontal="left" vertical="top" wrapText="1"/>
      <protection/>
    </xf>
    <xf numFmtId="0" fontId="23" fillId="0" borderId="12" xfId="61" applyFont="1" applyFill="1" applyBorder="1" applyAlignment="1" applyProtection="1">
      <alignment horizontal="left" vertical="center" wrapText="1"/>
      <protection/>
    </xf>
    <xf numFmtId="0" fontId="0" fillId="0" borderId="29" xfId="0" applyFont="1" applyFill="1" applyBorder="1" applyAlignment="1" applyProtection="1">
      <alignment horizontal="left" vertical="center" wrapText="1"/>
      <protection/>
    </xf>
    <xf numFmtId="0" fontId="11" fillId="0" borderId="12" xfId="61" applyFont="1" applyFill="1" applyBorder="1" applyAlignment="1" applyProtection="1">
      <alignment horizontal="left" vertical="center" wrapText="1"/>
      <protection/>
    </xf>
    <xf numFmtId="0" fontId="0" fillId="35" borderId="29" xfId="0" applyFont="1" applyFill="1" applyBorder="1" applyAlignment="1" applyProtection="1">
      <alignment horizontal="left" vertical="top" wrapText="1"/>
      <protection/>
    </xf>
    <xf numFmtId="0" fontId="0" fillId="35" borderId="14" xfId="0" applyFont="1" applyFill="1" applyBorder="1" applyAlignment="1" applyProtection="1">
      <alignment horizontal="left" vertical="top" wrapText="1"/>
      <protection/>
    </xf>
    <xf numFmtId="0" fontId="20" fillId="0" borderId="14" xfId="0" applyFont="1" applyFill="1" applyBorder="1" applyAlignment="1" applyProtection="1">
      <alignment horizontal="left" vertical="center" wrapText="1"/>
      <protection/>
    </xf>
    <xf numFmtId="0" fontId="20" fillId="0" borderId="12" xfId="0" applyFont="1" applyFill="1" applyBorder="1" applyAlignment="1" applyProtection="1">
      <alignment horizontal="left" vertical="center" wrapText="1"/>
      <protection/>
    </xf>
    <xf numFmtId="0" fontId="0" fillId="0" borderId="40" xfId="0" applyFont="1" applyFill="1" applyBorder="1" applyAlignment="1" applyProtection="1">
      <alignment horizontal="left" vertical="center" wrapText="1"/>
      <protection/>
    </xf>
    <xf numFmtId="0" fontId="0" fillId="0" borderId="12" xfId="0" applyFont="1" applyFill="1" applyBorder="1" applyAlignment="1" applyProtection="1">
      <alignment horizontal="left" vertical="top" wrapText="1"/>
      <protection/>
    </xf>
    <xf numFmtId="0" fontId="0" fillId="0" borderId="40" xfId="0" applyFill="1" applyBorder="1" applyAlignment="1" applyProtection="1">
      <alignment horizontal="left" vertical="top" wrapText="1"/>
      <protection/>
    </xf>
    <xf numFmtId="0" fontId="20" fillId="0" borderId="10" xfId="0" applyFont="1" applyFill="1" applyBorder="1" applyAlignment="1" applyProtection="1">
      <alignment horizontal="left" vertical="top" wrapText="1"/>
      <protection/>
    </xf>
    <xf numFmtId="0" fontId="0" fillId="0" borderId="10" xfId="0" applyFont="1" applyBorder="1" applyAlignment="1" applyProtection="1">
      <alignment horizontal="left" wrapText="1"/>
      <protection/>
    </xf>
    <xf numFmtId="0" fontId="20" fillId="0" borderId="34" xfId="0" applyFont="1" applyFill="1" applyBorder="1" applyAlignment="1" applyProtection="1">
      <alignment horizontal="left" vertical="top" wrapText="1"/>
      <protection/>
    </xf>
    <xf numFmtId="0" fontId="6" fillId="34" borderId="10" xfId="65" applyNumberFormat="1" applyFont="1" applyFill="1" applyBorder="1" applyAlignment="1" applyProtection="1">
      <alignment horizontal="center" vertical="center"/>
      <protection locked="0"/>
    </xf>
    <xf numFmtId="0" fontId="6" fillId="0" borderId="0" xfId="0" applyFont="1" applyAlignment="1" applyProtection="1">
      <alignment/>
      <protection locked="0"/>
    </xf>
    <xf numFmtId="0" fontId="0" fillId="0" borderId="0" xfId="0" applyAlignment="1" applyProtection="1">
      <alignment horizontal="left" vertical="top" wrapText="1"/>
      <protection locked="0"/>
    </xf>
    <xf numFmtId="0" fontId="6" fillId="0" borderId="0" xfId="0" applyFont="1" applyFill="1" applyAlignment="1" applyProtection="1">
      <alignment/>
      <protection locked="0"/>
    </xf>
    <xf numFmtId="1" fontId="0" fillId="0" borderId="43" xfId="65" applyNumberFormat="1" applyFont="1" applyBorder="1" applyAlignment="1" applyProtection="1">
      <alignment vertical="top" wrapText="1"/>
      <protection/>
    </xf>
    <xf numFmtId="1" fontId="0" fillId="0" borderId="36" xfId="65" applyNumberFormat="1" applyFont="1" applyBorder="1" applyAlignment="1" applyProtection="1">
      <alignment vertical="top" wrapText="1"/>
      <protection/>
    </xf>
    <xf numFmtId="0" fontId="6" fillId="39" borderId="44" xfId="0" applyFont="1" applyFill="1" applyBorder="1" applyAlignment="1" applyProtection="1">
      <alignment horizontal="left" vertical="top" wrapText="1"/>
      <protection/>
    </xf>
    <xf numFmtId="0" fontId="6" fillId="39" borderId="45" xfId="0" applyFont="1" applyFill="1" applyBorder="1" applyAlignment="1" applyProtection="1">
      <alignment horizontal="left" vertical="top" wrapText="1"/>
      <protection/>
    </xf>
    <xf numFmtId="0" fontId="6" fillId="33" borderId="46" xfId="0" applyFont="1" applyFill="1" applyBorder="1" applyAlignment="1" applyProtection="1">
      <alignment horizontal="left" vertical="top" wrapText="1"/>
      <protection/>
    </xf>
    <xf numFmtId="0" fontId="32" fillId="0" borderId="38" xfId="0" applyFont="1" applyFill="1" applyBorder="1" applyAlignment="1" applyProtection="1">
      <alignment horizontal="left" vertical="top" wrapText="1"/>
      <protection/>
    </xf>
    <xf numFmtId="0" fontId="32" fillId="0" borderId="17" xfId="0" applyFont="1" applyFill="1" applyBorder="1" applyAlignment="1" applyProtection="1">
      <alignment horizontal="left" vertical="top" wrapText="1"/>
      <protection/>
    </xf>
    <xf numFmtId="0" fontId="6" fillId="0" borderId="37" xfId="0" applyFont="1" applyFill="1" applyBorder="1" applyAlignment="1" applyProtection="1">
      <alignment horizontal="left" vertical="top" wrapText="1"/>
      <protection/>
    </xf>
    <xf numFmtId="0" fontId="0" fillId="0" borderId="34" xfId="65" applyFont="1" applyFill="1" applyBorder="1" applyAlignment="1" applyProtection="1">
      <alignment horizontal="left" vertical="top" wrapText="1"/>
      <protection/>
    </xf>
    <xf numFmtId="0" fontId="0" fillId="0" borderId="11" xfId="65" applyFont="1" applyFill="1" applyBorder="1" applyAlignment="1" applyProtection="1">
      <alignment horizontal="left" vertical="top" wrapText="1"/>
      <protection/>
    </xf>
    <xf numFmtId="0" fontId="0" fillId="0" borderId="40" xfId="65" applyFont="1" applyFill="1" applyBorder="1" applyAlignment="1" applyProtection="1">
      <alignment horizontal="left" vertical="top" wrapText="1"/>
      <protection/>
    </xf>
    <xf numFmtId="1" fontId="0" fillId="0" borderId="43" xfId="65" applyNumberFormat="1" applyFont="1" applyBorder="1" applyAlignment="1" applyProtection="1">
      <alignment horizontal="left" vertical="top" wrapText="1"/>
      <protection/>
    </xf>
    <xf numFmtId="0" fontId="32" fillId="0" borderId="40" xfId="0" applyFont="1" applyFill="1" applyBorder="1" applyAlignment="1" applyProtection="1">
      <alignment horizontal="left" vertical="top" wrapText="1"/>
      <protection/>
    </xf>
    <xf numFmtId="0" fontId="32" fillId="0" borderId="11" xfId="0" applyFont="1" applyFill="1" applyBorder="1" applyAlignment="1" applyProtection="1">
      <alignment horizontal="left" vertical="top" wrapText="1"/>
      <protection/>
    </xf>
    <xf numFmtId="0" fontId="0" fillId="0" borderId="36" xfId="0" applyFont="1" applyBorder="1" applyAlignment="1" applyProtection="1">
      <alignment horizontal="left" vertical="top" wrapText="1"/>
      <protection/>
    </xf>
    <xf numFmtId="0" fontId="32" fillId="0" borderId="40" xfId="65" applyFont="1" applyFill="1" applyBorder="1" applyAlignment="1" applyProtection="1">
      <alignment horizontal="left" vertical="top" wrapText="1"/>
      <protection/>
    </xf>
    <xf numFmtId="0" fontId="32" fillId="0" borderId="11" xfId="65" applyFont="1" applyFill="1" applyBorder="1" applyAlignment="1" applyProtection="1">
      <alignment horizontal="left" vertical="top" wrapText="1"/>
      <protection/>
    </xf>
    <xf numFmtId="0" fontId="6" fillId="39" borderId="29" xfId="0" applyFont="1" applyFill="1" applyBorder="1" applyAlignment="1" applyProtection="1">
      <alignment horizontal="left" vertical="top" wrapText="1"/>
      <protection/>
    </xf>
    <xf numFmtId="0" fontId="6" fillId="39" borderId="30" xfId="0" applyFont="1" applyFill="1" applyBorder="1" applyAlignment="1" applyProtection="1">
      <alignment horizontal="left" vertical="top" wrapText="1"/>
      <protection/>
    </xf>
    <xf numFmtId="0" fontId="6" fillId="33" borderId="31" xfId="0" applyFont="1" applyFill="1" applyBorder="1" applyAlignment="1" applyProtection="1">
      <alignment horizontal="left" vertical="top" wrapText="1"/>
      <protection/>
    </xf>
    <xf numFmtId="0" fontId="0" fillId="33" borderId="34" xfId="0" applyFont="1" applyFill="1" applyBorder="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1" fontId="0" fillId="0" borderId="37" xfId="65" applyNumberFormat="1" applyFont="1" applyBorder="1" applyAlignment="1" applyProtection="1">
      <alignment vertical="top" wrapText="1"/>
      <protection/>
    </xf>
    <xf numFmtId="0" fontId="0" fillId="0" borderId="47" xfId="0" applyFont="1" applyFill="1" applyBorder="1" applyAlignment="1" applyProtection="1">
      <alignment horizontal="left" vertical="top" wrapText="1"/>
      <protection/>
    </xf>
    <xf numFmtId="0" fontId="0" fillId="0" borderId="48" xfId="0" applyFont="1" applyFill="1" applyBorder="1" applyAlignment="1" applyProtection="1">
      <alignment horizontal="left" vertical="top" wrapText="1"/>
      <protection/>
    </xf>
    <xf numFmtId="1" fontId="0" fillId="0" borderId="33" xfId="65" applyNumberFormat="1" applyFont="1" applyBorder="1" applyAlignment="1" applyProtection="1">
      <alignment vertical="top" wrapText="1"/>
      <protection/>
    </xf>
    <xf numFmtId="0" fontId="0" fillId="0" borderId="0" xfId="0" applyFont="1" applyFill="1" applyAlignment="1" quotePrefix="1">
      <alignment/>
    </xf>
    <xf numFmtId="0" fontId="0" fillId="0" borderId="0" xfId="0" applyFill="1" applyAlignment="1">
      <alignment/>
    </xf>
    <xf numFmtId="16" fontId="0" fillId="0" borderId="0" xfId="0" applyNumberFormat="1" applyFont="1" applyFill="1" applyAlignment="1" quotePrefix="1">
      <alignment/>
    </xf>
    <xf numFmtId="209" fontId="0" fillId="34" borderId="36" xfId="65" applyNumberFormat="1" applyFont="1" applyFill="1" applyBorder="1" applyAlignment="1" applyProtection="1">
      <alignment horizontal="center" vertical="center" wrapText="1"/>
      <protection locked="0"/>
    </xf>
    <xf numFmtId="209" fontId="6" fillId="40" borderId="49" xfId="65" applyNumberFormat="1" applyFont="1" applyFill="1" applyBorder="1" applyAlignment="1" applyProtection="1">
      <alignment horizontal="center" vertical="center"/>
      <protection locked="0"/>
    </xf>
    <xf numFmtId="209" fontId="0" fillId="34" borderId="49" xfId="65" applyNumberFormat="1" applyFont="1" applyFill="1" applyBorder="1" applyAlignment="1" applyProtection="1">
      <alignment horizontal="center" vertical="center"/>
      <protection locked="0"/>
    </xf>
    <xf numFmtId="0" fontId="0" fillId="0" borderId="18" xfId="0" applyFont="1" applyFill="1" applyBorder="1" applyAlignment="1" applyProtection="1">
      <alignment horizontal="left" vertical="top" wrapText="1"/>
      <protection locked="0"/>
    </xf>
    <xf numFmtId="0" fontId="0" fillId="0" borderId="18" xfId="0" applyFill="1" applyBorder="1" applyAlignment="1" applyProtection="1">
      <alignment horizontal="center" vertical="top" wrapText="1"/>
      <protection locked="0"/>
    </xf>
    <xf numFmtId="0" fontId="0" fillId="0" borderId="18" xfId="0" applyFont="1" applyFill="1" applyBorder="1" applyAlignment="1" applyProtection="1">
      <alignment horizontal="center" vertical="top" wrapText="1"/>
      <protection locked="0"/>
    </xf>
    <xf numFmtId="0" fontId="0" fillId="0" borderId="15" xfId="0" applyFont="1" applyFill="1" applyBorder="1" applyAlignment="1" applyProtection="1">
      <alignment horizontal="left" vertical="top" wrapText="1"/>
      <protection locked="0"/>
    </xf>
    <xf numFmtId="0" fontId="0" fillId="0" borderId="15" xfId="0" applyFill="1" applyBorder="1" applyAlignment="1" applyProtection="1">
      <alignment horizontal="center" vertical="top" wrapText="1"/>
      <protection locked="0"/>
    </xf>
    <xf numFmtId="0" fontId="0" fillId="0" borderId="31" xfId="0" applyFont="1" applyFill="1" applyBorder="1" applyAlignment="1" applyProtection="1">
      <alignment horizontal="left" vertical="top" wrapText="1"/>
      <protection locked="0"/>
    </xf>
    <xf numFmtId="0" fontId="0" fillId="0" borderId="31" xfId="0" applyFont="1" applyFill="1" applyBorder="1" applyAlignment="1" applyProtection="1">
      <alignment horizontal="center" vertical="top" wrapText="1"/>
      <protection locked="0"/>
    </xf>
    <xf numFmtId="0" fontId="0" fillId="0" borderId="31" xfId="0" applyFill="1" applyBorder="1" applyAlignment="1" applyProtection="1">
      <alignment horizontal="center" vertical="top" wrapText="1"/>
      <protection locked="0"/>
    </xf>
    <xf numFmtId="219" fontId="0" fillId="0" borderId="27" xfId="0" applyNumberFormat="1" applyFont="1" applyFill="1" applyBorder="1" applyAlignment="1" applyProtection="1">
      <alignment horizontal="center" vertical="top" wrapText="1"/>
      <protection locked="0"/>
    </xf>
    <xf numFmtId="2" fontId="14" fillId="0" borderId="27" xfId="0" applyNumberFormat="1" applyFont="1" applyFill="1" applyBorder="1" applyAlignment="1" applyProtection="1">
      <alignment horizontal="center" vertical="top" wrapText="1"/>
      <protection locked="0"/>
    </xf>
    <xf numFmtId="2" fontId="14" fillId="35" borderId="10" xfId="0" applyNumberFormat="1" applyFont="1" applyFill="1" applyBorder="1" applyAlignment="1" applyProtection="1">
      <alignment horizontal="center" vertical="top" wrapText="1"/>
      <protection locked="0"/>
    </xf>
    <xf numFmtId="0" fontId="0" fillId="0" borderId="13" xfId="0" applyFont="1" applyFill="1" applyBorder="1" applyAlignment="1" applyProtection="1">
      <alignment horizontal="left" vertical="top" wrapText="1"/>
      <protection locked="0"/>
    </xf>
    <xf numFmtId="0" fontId="0" fillId="0" borderId="13" xfId="0" applyFill="1" applyBorder="1" applyAlignment="1" applyProtection="1">
      <alignment horizontal="center" vertical="top" wrapText="1"/>
      <protection locked="0"/>
    </xf>
    <xf numFmtId="222" fontId="0" fillId="0" borderId="10" xfId="0" applyNumberFormat="1" applyFont="1" applyFill="1" applyBorder="1" applyAlignment="1" applyProtection="1">
      <alignment horizontal="left" vertical="top" wrapText="1"/>
      <protection locked="0"/>
    </xf>
    <xf numFmtId="222" fontId="0" fillId="0" borderId="27" xfId="0" applyNumberFormat="1" applyFont="1" applyFill="1" applyBorder="1" applyAlignment="1" applyProtection="1">
      <alignment horizontal="left" vertical="top" wrapText="1"/>
      <protection locked="0"/>
    </xf>
    <xf numFmtId="2" fontId="0" fillId="0" borderId="16" xfId="0" applyNumberFormat="1" applyFont="1" applyFill="1" applyBorder="1" applyAlignment="1" applyProtection="1">
      <alignment horizontal="left" vertical="top" wrapText="1"/>
      <protection locked="0"/>
    </xf>
    <xf numFmtId="2" fontId="0" fillId="0" borderId="28" xfId="0" applyNumberFormat="1" applyFont="1" applyFill="1" applyBorder="1" applyAlignment="1" applyProtection="1">
      <alignment horizontal="left" vertical="top" wrapText="1"/>
      <protection locked="0"/>
    </xf>
    <xf numFmtId="2" fontId="0" fillId="0" borderId="29" xfId="0" applyNumberFormat="1" applyFont="1" applyFill="1" applyBorder="1" applyAlignment="1" applyProtection="1">
      <alignment horizontal="left" vertical="top" wrapText="1"/>
      <protection locked="0"/>
    </xf>
    <xf numFmtId="219" fontId="0" fillId="0" borderId="27" xfId="0" applyNumberFormat="1" applyFont="1" applyFill="1" applyBorder="1" applyAlignment="1" applyProtection="1">
      <alignment horizontal="left" vertical="top" wrapText="1"/>
      <protection locked="0"/>
    </xf>
    <xf numFmtId="2" fontId="0" fillId="0" borderId="12" xfId="0" applyNumberFormat="1" applyFont="1" applyFill="1" applyBorder="1" applyAlignment="1" applyProtection="1">
      <alignment horizontal="left" vertical="top" wrapText="1"/>
      <protection locked="0"/>
    </xf>
    <xf numFmtId="0" fontId="0" fillId="0" borderId="10" xfId="0" applyFont="1" applyBorder="1" applyAlignment="1">
      <alignment wrapText="1"/>
    </xf>
    <xf numFmtId="0" fontId="0" fillId="0" borderId="10" xfId="0" applyFont="1" applyFill="1" applyBorder="1" applyAlignment="1">
      <alignment wrapText="1"/>
    </xf>
    <xf numFmtId="209" fontId="0" fillId="34" borderId="36" xfId="65" applyNumberFormat="1" applyFont="1" applyFill="1" applyBorder="1" applyAlignment="1" applyProtection="1">
      <alignment horizontal="center" vertical="center"/>
      <protection/>
    </xf>
    <xf numFmtId="0" fontId="0" fillId="0" borderId="0" xfId="0" applyAlignment="1">
      <alignment vertical="top" wrapText="1"/>
    </xf>
    <xf numFmtId="14" fontId="0" fillId="0" borderId="0" xfId="0" applyNumberFormat="1" applyAlignment="1">
      <alignment vertical="top" wrapText="1"/>
    </xf>
    <xf numFmtId="0" fontId="0" fillId="41" borderId="0" xfId="0" applyFont="1" applyFill="1" applyAlignment="1">
      <alignment vertical="top" wrapText="1"/>
    </xf>
    <xf numFmtId="0" fontId="6" fillId="29" borderId="44" xfId="0" applyFont="1" applyFill="1" applyBorder="1" applyAlignment="1" applyProtection="1">
      <alignment horizontal="left" vertical="top" wrapText="1"/>
      <protection/>
    </xf>
    <xf numFmtId="0" fontId="6" fillId="29" borderId="20" xfId="0" applyFont="1" applyFill="1" applyBorder="1" applyAlignment="1" applyProtection="1">
      <alignment horizontal="left" vertical="top" wrapText="1"/>
      <protection/>
    </xf>
    <xf numFmtId="0" fontId="6" fillId="29" borderId="50" xfId="0" applyFont="1" applyFill="1" applyBorder="1" applyAlignment="1" applyProtection="1">
      <alignment horizontal="left" vertical="top" wrapText="1"/>
      <protection/>
    </xf>
    <xf numFmtId="0" fontId="0" fillId="0" borderId="51" xfId="0" applyBorder="1" applyAlignment="1" applyProtection="1">
      <alignment horizontal="left" vertical="top" wrapText="1"/>
      <protection/>
    </xf>
    <xf numFmtId="0" fontId="0" fillId="0" borderId="52" xfId="0" applyBorder="1" applyAlignment="1" applyProtection="1">
      <alignment horizontal="left" vertical="top" wrapText="1"/>
      <protection/>
    </xf>
    <xf numFmtId="0" fontId="13" fillId="0" borderId="53" xfId="65" applyFont="1" applyBorder="1" applyAlignment="1" applyProtection="1">
      <alignment vertical="top" wrapText="1"/>
      <protection/>
    </xf>
    <xf numFmtId="0" fontId="0" fillId="0" borderId="34" xfId="0" applyBorder="1" applyAlignment="1" applyProtection="1">
      <alignment horizontal="left" vertical="top" wrapText="1"/>
      <protection/>
    </xf>
    <xf numFmtId="0" fontId="0" fillId="0" borderId="11" xfId="0" applyBorder="1" applyAlignment="1" applyProtection="1">
      <alignment horizontal="left" vertical="top" wrapText="1"/>
      <protection/>
    </xf>
    <xf numFmtId="0" fontId="0" fillId="0" borderId="43" xfId="65" applyFont="1" applyBorder="1" applyAlignment="1" applyProtection="1">
      <alignment horizontal="left" vertical="top"/>
      <protection/>
    </xf>
    <xf numFmtId="0" fontId="0" fillId="0" borderId="40" xfId="0" applyBorder="1" applyAlignment="1" applyProtection="1">
      <alignment horizontal="left" vertical="top" wrapText="1"/>
      <protection/>
    </xf>
    <xf numFmtId="0" fontId="0" fillId="0" borderId="43" xfId="65" applyFont="1" applyBorder="1" applyAlignment="1" applyProtection="1">
      <alignment vertical="top" wrapText="1"/>
      <protection/>
    </xf>
    <xf numFmtId="0" fontId="0" fillId="0" borderId="29" xfId="0" applyBorder="1" applyAlignment="1" applyProtection="1">
      <alignment horizontal="left" vertical="top" wrapText="1"/>
      <protection/>
    </xf>
    <xf numFmtId="0" fontId="0" fillId="0" borderId="24" xfId="0" applyBorder="1" applyAlignment="1" applyProtection="1">
      <alignment horizontal="left" vertical="top" wrapText="1"/>
      <protection/>
    </xf>
    <xf numFmtId="0" fontId="0" fillId="0" borderId="49" xfId="0" applyBorder="1" applyAlignment="1" applyProtection="1">
      <alignment horizontal="left" vertical="top" wrapText="1"/>
      <protection/>
    </xf>
    <xf numFmtId="1" fontId="0" fillId="0" borderId="54" xfId="65" applyNumberFormat="1" applyFont="1" applyBorder="1" applyAlignment="1" applyProtection="1">
      <alignment vertical="top" wrapText="1"/>
      <protection/>
    </xf>
    <xf numFmtId="0" fontId="6" fillId="29" borderId="45" xfId="0" applyFont="1" applyFill="1" applyBorder="1" applyAlignment="1" applyProtection="1">
      <alignment horizontal="left" vertical="top" wrapText="1"/>
      <protection/>
    </xf>
    <xf numFmtId="0" fontId="6" fillId="29" borderId="46" xfId="0" applyFont="1" applyFill="1" applyBorder="1" applyAlignment="1" applyProtection="1">
      <alignment horizontal="left" vertical="top" wrapText="1"/>
      <protection/>
    </xf>
    <xf numFmtId="0" fontId="31" fillId="0" borderId="40" xfId="0" applyFont="1" applyBorder="1" applyAlignment="1" applyProtection="1">
      <alignment horizontal="left" vertical="top"/>
      <protection/>
    </xf>
    <xf numFmtId="0" fontId="31" fillId="0" borderId="11" xfId="0" applyFont="1" applyBorder="1" applyAlignment="1" applyProtection="1">
      <alignment horizontal="left" vertical="top"/>
      <protection/>
    </xf>
    <xf numFmtId="0" fontId="0" fillId="0" borderId="43" xfId="0" applyBorder="1" applyAlignment="1" applyProtection="1">
      <alignment horizontal="left" vertical="top" wrapText="1"/>
      <protection/>
    </xf>
    <xf numFmtId="0" fontId="46" fillId="0" borderId="0" xfId="0" applyFont="1" applyAlignment="1">
      <alignment horizontal="left" vertical="top" wrapText="1"/>
    </xf>
    <xf numFmtId="0" fontId="0" fillId="38" borderId="0" xfId="0" applyFill="1" applyAlignment="1" applyProtection="1">
      <alignment horizontal="left" vertical="top" wrapText="1"/>
      <protection/>
    </xf>
    <xf numFmtId="0" fontId="0" fillId="0" borderId="25" xfId="0" applyFont="1" applyFill="1" applyBorder="1" applyAlignment="1" applyProtection="1">
      <alignment horizontal="left" vertical="center" wrapText="1"/>
      <protection/>
    </xf>
    <xf numFmtId="0" fontId="0" fillId="0" borderId="0" xfId="0" applyFill="1" applyAlignment="1" applyProtection="1">
      <alignment horizontal="right" vertical="top" wrapText="1"/>
      <protection/>
    </xf>
    <xf numFmtId="0" fontId="0" fillId="0" borderId="0" xfId="0" applyFill="1" applyAlignment="1" applyProtection="1">
      <alignment horizontal="center" vertical="top" wrapText="1"/>
      <protection/>
    </xf>
    <xf numFmtId="2" fontId="0" fillId="0" borderId="0" xfId="0" applyNumberFormat="1" applyFill="1" applyAlignment="1" applyProtection="1">
      <alignment horizontal="center" vertical="top" wrapText="1"/>
      <protection/>
    </xf>
    <xf numFmtId="0" fontId="0" fillId="0" borderId="0" xfId="0" applyAlignment="1" applyProtection="1">
      <alignment/>
      <protection/>
    </xf>
    <xf numFmtId="0" fontId="0" fillId="0" borderId="0" xfId="0" applyFill="1" applyAlignment="1" applyProtection="1">
      <alignment horizontal="left" vertical="top" wrapText="1"/>
      <protection/>
    </xf>
    <xf numFmtId="0" fontId="14" fillId="0" borderId="0" xfId="0" applyFont="1" applyFill="1" applyAlignment="1" applyProtection="1">
      <alignment horizontal="center" vertical="top" wrapText="1"/>
      <protection/>
    </xf>
    <xf numFmtId="211" fontId="0" fillId="0" borderId="0" xfId="0" applyNumberFormat="1" applyFill="1" applyAlignment="1" applyProtection="1">
      <alignment horizontal="center" vertical="top" wrapText="1"/>
      <protection/>
    </xf>
    <xf numFmtId="0" fontId="0" fillId="0" borderId="20" xfId="0" applyFont="1" applyFill="1" applyBorder="1" applyAlignment="1" applyProtection="1">
      <alignment horizontal="left" vertical="center" wrapText="1"/>
      <protection/>
    </xf>
    <xf numFmtId="0" fontId="13" fillId="40" borderId="55" xfId="0" applyFont="1" applyFill="1" applyBorder="1" applyAlignment="1" applyProtection="1">
      <alignment horizontal="left" vertical="center"/>
      <protection/>
    </xf>
    <xf numFmtId="0" fontId="0" fillId="40" borderId="20"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0" xfId="0" applyFill="1" applyBorder="1" applyAlignment="1" applyProtection="1">
      <alignment horizontal="right" vertical="top" wrapText="1"/>
      <protection/>
    </xf>
    <xf numFmtId="0" fontId="6" fillId="36" borderId="56" xfId="0" applyFont="1" applyFill="1" applyBorder="1" applyAlignment="1" applyProtection="1">
      <alignment horizontal="left" vertical="top" wrapText="1"/>
      <protection/>
    </xf>
    <xf numFmtId="0" fontId="37" fillId="0" borderId="0" xfId="0" applyFont="1" applyBorder="1" applyAlignment="1" applyProtection="1">
      <alignment wrapText="1"/>
      <protection/>
    </xf>
    <xf numFmtId="209" fontId="6" fillId="34" borderId="10" xfId="65" applyNumberFormat="1" applyFont="1" applyFill="1" applyBorder="1" applyAlignment="1" applyProtection="1">
      <alignment horizontal="center" vertical="center" wrapText="1"/>
      <protection/>
    </xf>
    <xf numFmtId="0" fontId="0" fillId="33" borderId="10" xfId="0" applyFill="1" applyBorder="1" applyAlignment="1" applyProtection="1">
      <alignment horizontal="left" vertical="top" wrapText="1"/>
      <protection/>
    </xf>
    <xf numFmtId="0" fontId="0" fillId="33" borderId="10" xfId="0" applyFont="1" applyFill="1" applyBorder="1" applyAlignment="1" applyProtection="1">
      <alignment horizontal="left" vertical="top" wrapText="1"/>
      <protection/>
    </xf>
    <xf numFmtId="0" fontId="27" fillId="33" borderId="10" xfId="65" applyFont="1" applyFill="1" applyBorder="1" applyAlignment="1" applyProtection="1">
      <alignment horizontal="left" vertical="center" wrapText="1"/>
      <protection/>
    </xf>
    <xf numFmtId="0" fontId="27" fillId="38" borderId="10" xfId="65" applyFont="1" applyFill="1" applyBorder="1" applyAlignment="1" applyProtection="1">
      <alignment horizontal="left" vertical="center" wrapText="1"/>
      <protection/>
    </xf>
    <xf numFmtId="0" fontId="11" fillId="0" borderId="10" xfId="0" applyFont="1" applyFill="1" applyBorder="1" applyAlignment="1" applyProtection="1">
      <alignment vertical="center" wrapText="1"/>
      <protection/>
    </xf>
    <xf numFmtId="209" fontId="0" fillId="0" borderId="0" xfId="65" applyNumberFormat="1" applyFont="1" applyFill="1" applyBorder="1" applyAlignment="1" applyProtection="1">
      <alignment horizontal="center" vertical="center"/>
      <protection/>
    </xf>
    <xf numFmtId="0" fontId="26" fillId="0" borderId="0" xfId="0" applyFont="1" applyBorder="1" applyAlignment="1" applyProtection="1">
      <alignment vertical="center" wrapText="1"/>
      <protection/>
    </xf>
    <xf numFmtId="0" fontId="0" fillId="0" borderId="0" xfId="0" applyBorder="1" applyAlignment="1" applyProtection="1">
      <alignment/>
      <protection/>
    </xf>
    <xf numFmtId="2" fontId="0" fillId="0" borderId="0" xfId="0" applyNumberFormat="1" applyFill="1" applyAlignment="1" applyProtection="1">
      <alignment horizontal="left" vertical="top" wrapText="1"/>
      <protection/>
    </xf>
    <xf numFmtId="0" fontId="0" fillId="0" borderId="57" xfId="0" applyFill="1" applyBorder="1" applyAlignment="1" applyProtection="1">
      <alignment horizontal="left" vertical="top" wrapText="1"/>
      <protection/>
    </xf>
    <xf numFmtId="0" fontId="8" fillId="38" borderId="58" xfId="0" applyFont="1" applyFill="1" applyBorder="1" applyAlignment="1" applyProtection="1">
      <alignment horizontal="center" vertical="top" wrapText="1"/>
      <protection/>
    </xf>
    <xf numFmtId="0" fontId="0" fillId="0" borderId="58" xfId="0" applyFill="1" applyBorder="1" applyAlignment="1" applyProtection="1">
      <alignment horizontal="right" vertical="top" wrapText="1"/>
      <protection/>
    </xf>
    <xf numFmtId="0" fontId="6" fillId="42" borderId="34" xfId="0" applyFont="1" applyFill="1" applyBorder="1" applyAlignment="1" applyProtection="1">
      <alignment horizontal="left" vertical="center" wrapText="1"/>
      <protection/>
    </xf>
    <xf numFmtId="0" fontId="8" fillId="0" borderId="0" xfId="0" applyFont="1" applyFill="1" applyBorder="1" applyAlignment="1" applyProtection="1">
      <alignment horizontal="left" vertical="top" wrapText="1"/>
      <protection/>
    </xf>
    <xf numFmtId="0" fontId="0" fillId="0" borderId="10" xfId="0" applyFont="1" applyFill="1" applyBorder="1" applyAlignment="1" applyProtection="1">
      <alignment horizontal="left" wrapText="1"/>
      <protection/>
    </xf>
    <xf numFmtId="1" fontId="0" fillId="0" borderId="10" xfId="65" applyNumberFormat="1" applyFont="1" applyFill="1" applyBorder="1" applyAlignment="1" applyProtection="1">
      <alignment horizontal="left" wrapText="1"/>
      <protection/>
    </xf>
    <xf numFmtId="0" fontId="27" fillId="38" borderId="10" xfId="65" applyFont="1" applyFill="1" applyBorder="1" applyAlignment="1" applyProtection="1">
      <alignment vertical="top" wrapText="1"/>
      <protection/>
    </xf>
    <xf numFmtId="0" fontId="0" fillId="0" borderId="0" xfId="0" applyFont="1" applyFill="1" applyBorder="1" applyAlignment="1" applyProtection="1">
      <alignment horizontal="right" vertical="top" wrapText="1"/>
      <protection/>
    </xf>
    <xf numFmtId="0" fontId="0" fillId="0" borderId="0" xfId="65" applyNumberFormat="1" applyFont="1" applyFill="1" applyBorder="1" applyAlignment="1" applyProtection="1">
      <alignment horizontal="center" vertical="center"/>
      <protection/>
    </xf>
    <xf numFmtId="0" fontId="26" fillId="0" borderId="0" xfId="0" applyFont="1" applyBorder="1" applyAlignment="1" applyProtection="1">
      <alignment horizontal="center" vertical="center" wrapText="1"/>
      <protection/>
    </xf>
    <xf numFmtId="0" fontId="30" fillId="0" borderId="0" xfId="0" applyFont="1" applyFill="1" applyAlignment="1" applyProtection="1">
      <alignment horizontal="left" vertical="top" wrapText="1"/>
      <protection/>
    </xf>
    <xf numFmtId="0" fontId="0" fillId="0" borderId="59" xfId="0" applyFill="1" applyBorder="1" applyAlignment="1" applyProtection="1">
      <alignment horizontal="left" vertical="top" wrapText="1"/>
      <protection/>
    </xf>
    <xf numFmtId="0" fontId="8" fillId="38" borderId="59" xfId="0" applyFont="1" applyFill="1" applyBorder="1" applyAlignment="1" applyProtection="1">
      <alignment horizontal="center" vertical="top" wrapText="1"/>
      <protection/>
    </xf>
    <xf numFmtId="0" fontId="0" fillId="0" borderId="59" xfId="0" applyFill="1" applyBorder="1" applyAlignment="1" applyProtection="1">
      <alignment horizontal="right" vertical="top" wrapText="1"/>
      <protection/>
    </xf>
    <xf numFmtId="0" fontId="14" fillId="0" borderId="59" xfId="0" applyFont="1" applyFill="1" applyBorder="1" applyAlignment="1" applyProtection="1">
      <alignment horizontal="center" vertical="top" wrapText="1"/>
      <protection/>
    </xf>
    <xf numFmtId="0" fontId="0" fillId="0" borderId="59" xfId="0" applyFill="1" applyBorder="1" applyAlignment="1" applyProtection="1">
      <alignment horizontal="center" vertical="top" wrapText="1"/>
      <protection/>
    </xf>
    <xf numFmtId="211" fontId="0" fillId="0" borderId="59" xfId="0" applyNumberForma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29" fillId="0" borderId="0" xfId="0" applyFont="1" applyFill="1" applyBorder="1" applyAlignment="1" applyProtection="1">
      <alignment horizontal="left" vertical="top" wrapText="1"/>
      <protection/>
    </xf>
    <xf numFmtId="0" fontId="0" fillId="0" borderId="25" xfId="0" applyFill="1" applyBorder="1" applyAlignment="1" applyProtection="1">
      <alignment horizontal="left" vertical="top" wrapText="1"/>
      <protection/>
    </xf>
    <xf numFmtId="209" fontId="6" fillId="34" borderId="49" xfId="65" applyNumberFormat="1" applyFont="1" applyFill="1" applyBorder="1" applyAlignment="1" applyProtection="1">
      <alignment horizontal="center" vertical="center" wrapText="1"/>
      <protection/>
    </xf>
    <xf numFmtId="0" fontId="0" fillId="40" borderId="49" xfId="65" applyFont="1" applyFill="1" applyBorder="1" applyAlignment="1" applyProtection="1">
      <alignment vertical="top" wrapText="1"/>
      <protection/>
    </xf>
    <xf numFmtId="0" fontId="0" fillId="0" borderId="49" xfId="65" applyFont="1" applyFill="1" applyBorder="1" applyAlignment="1" applyProtection="1">
      <alignment vertical="top" wrapText="1"/>
      <protection/>
    </xf>
    <xf numFmtId="0" fontId="0" fillId="0" borderId="60" xfId="0" applyFill="1" applyBorder="1" applyAlignment="1" applyProtection="1">
      <alignment horizontal="right" vertical="top" wrapText="1"/>
      <protection/>
    </xf>
    <xf numFmtId="0" fontId="8" fillId="38" borderId="60" xfId="0" applyFont="1" applyFill="1" applyBorder="1" applyAlignment="1" applyProtection="1">
      <alignment horizontal="center" vertical="top" wrapText="1"/>
      <protection/>
    </xf>
    <xf numFmtId="0" fontId="14" fillId="0" borderId="60" xfId="0" applyFont="1" applyFill="1" applyBorder="1" applyAlignment="1" applyProtection="1">
      <alignment horizontal="center" vertical="top" wrapText="1"/>
      <protection/>
    </xf>
    <xf numFmtId="0" fontId="0" fillId="0" borderId="60" xfId="0" applyFill="1" applyBorder="1" applyAlignment="1" applyProtection="1">
      <alignment horizontal="center" vertical="top" wrapText="1"/>
      <protection/>
    </xf>
    <xf numFmtId="201" fontId="0" fillId="0" borderId="60" xfId="42" applyFont="1" applyFill="1" applyBorder="1" applyAlignment="1" applyProtection="1">
      <alignment horizontal="center" vertical="top" wrapText="1"/>
      <protection/>
    </xf>
    <xf numFmtId="16" fontId="29" fillId="0" borderId="0" xfId="0" applyNumberFormat="1" applyFont="1" applyFill="1" applyBorder="1" applyAlignment="1" applyProtection="1">
      <alignment horizontal="left" vertical="top" wrapText="1"/>
      <protection/>
    </xf>
    <xf numFmtId="16" fontId="0" fillId="0" borderId="0" xfId="0" applyNumberFormat="1" applyFont="1" applyFill="1" applyBorder="1" applyAlignment="1" applyProtection="1" quotePrefix="1">
      <alignment horizontal="left" vertical="top" wrapText="1"/>
      <protection/>
    </xf>
    <xf numFmtId="209" fontId="41" fillId="0" borderId="45" xfId="65" applyNumberFormat="1" applyFont="1" applyFill="1" applyBorder="1" applyAlignment="1" applyProtection="1">
      <alignment horizontal="center" vertical="center"/>
      <protection/>
    </xf>
    <xf numFmtId="0" fontId="0" fillId="0" borderId="45" xfId="0" applyFill="1" applyBorder="1" applyAlignment="1" applyProtection="1">
      <alignment horizontal="left" vertical="top" wrapText="1"/>
      <protection/>
    </xf>
    <xf numFmtId="209" fontId="6" fillId="0" borderId="45" xfId="65" applyNumberFormat="1" applyFont="1" applyFill="1" applyBorder="1" applyAlignment="1" applyProtection="1">
      <alignment horizontal="center" vertical="center" wrapText="1"/>
      <protection/>
    </xf>
    <xf numFmtId="0" fontId="0" fillId="0" borderId="45" xfId="65" applyFont="1" applyFill="1" applyBorder="1" applyAlignment="1" applyProtection="1">
      <alignment vertical="top" wrapText="1"/>
      <protection/>
    </xf>
    <xf numFmtId="209" fontId="6" fillId="0" borderId="45" xfId="65" applyNumberFormat="1" applyFont="1" applyFill="1" applyBorder="1" applyAlignment="1" applyProtection="1">
      <alignment horizontal="center" vertical="center"/>
      <protection/>
    </xf>
    <xf numFmtId="209" fontId="0" fillId="0" borderId="45" xfId="65" applyNumberFormat="1" applyFont="1" applyFill="1" applyBorder="1" applyAlignment="1" applyProtection="1">
      <alignment horizontal="center" vertical="center"/>
      <protection/>
    </xf>
    <xf numFmtId="0" fontId="8" fillId="38" borderId="0" xfId="0" applyFont="1" applyFill="1" applyBorder="1" applyAlignment="1" applyProtection="1">
      <alignment horizontal="center" vertical="top" wrapText="1"/>
      <protection/>
    </xf>
    <xf numFmtId="0" fontId="14" fillId="0" borderId="0" xfId="0" applyFont="1" applyFill="1" applyBorder="1" applyAlignment="1" applyProtection="1">
      <alignment horizontal="center" vertical="top" wrapText="1"/>
      <protection/>
    </xf>
    <xf numFmtId="0" fontId="0" fillId="0" borderId="0" xfId="0" applyFill="1" applyBorder="1" applyAlignment="1" applyProtection="1">
      <alignment horizontal="center" vertical="top" wrapText="1"/>
      <protection/>
    </xf>
    <xf numFmtId="0" fontId="0" fillId="42" borderId="24" xfId="0" applyFill="1" applyBorder="1" applyAlignment="1" applyProtection="1">
      <alignment horizontal="left" vertical="top" wrapText="1"/>
      <protection/>
    </xf>
    <xf numFmtId="0" fontId="0" fillId="42" borderId="25" xfId="0" applyFont="1" applyFill="1" applyBorder="1" applyAlignment="1" applyProtection="1">
      <alignment horizontal="left" vertical="center" wrapText="1"/>
      <protection/>
    </xf>
    <xf numFmtId="0" fontId="0" fillId="42" borderId="25" xfId="0" applyFill="1" applyBorder="1" applyAlignment="1" applyProtection="1">
      <alignment horizontal="left" vertical="top" wrapText="1"/>
      <protection/>
    </xf>
    <xf numFmtId="0" fontId="0" fillId="42" borderId="45" xfId="0" applyFill="1" applyBorder="1" applyAlignment="1" applyProtection="1">
      <alignment horizontal="left" vertical="top" wrapText="1"/>
      <protection/>
    </xf>
    <xf numFmtId="2" fontId="0" fillId="42" borderId="45" xfId="0" applyNumberFormat="1" applyFill="1" applyBorder="1" applyAlignment="1" applyProtection="1">
      <alignment horizontal="left" vertical="top" wrapText="1"/>
      <protection/>
    </xf>
    <xf numFmtId="0" fontId="14" fillId="42" borderId="45" xfId="0" applyFont="1" applyFill="1" applyBorder="1" applyAlignment="1" applyProtection="1">
      <alignment horizontal="left" vertical="top" wrapText="1"/>
      <protection/>
    </xf>
    <xf numFmtId="0" fontId="0" fillId="42" borderId="45" xfId="0" applyFill="1" applyBorder="1" applyAlignment="1" applyProtection="1">
      <alignment horizontal="center" vertical="top" wrapText="1"/>
      <protection/>
    </xf>
    <xf numFmtId="0" fontId="0" fillId="42" borderId="46" xfId="0" applyFill="1" applyBorder="1" applyAlignment="1" applyProtection="1">
      <alignment horizontal="center" vertical="top" wrapText="1"/>
      <protection/>
    </xf>
    <xf numFmtId="0" fontId="0" fillId="0" borderId="22" xfId="0" applyFill="1" applyBorder="1" applyAlignment="1" applyProtection="1">
      <alignment horizontal="left" vertical="top" wrapText="1"/>
      <protection/>
    </xf>
    <xf numFmtId="0" fontId="8" fillId="43" borderId="44" xfId="65" applyFont="1" applyFill="1" applyBorder="1" applyAlignment="1" applyProtection="1">
      <alignment vertical="center"/>
      <protection/>
    </xf>
    <xf numFmtId="0" fontId="17" fillId="43" borderId="44" xfId="0" applyFont="1" applyFill="1" applyBorder="1" applyAlignment="1" applyProtection="1">
      <alignment vertical="top"/>
      <protection/>
    </xf>
    <xf numFmtId="0" fontId="8" fillId="43" borderId="45" xfId="65" applyFont="1" applyFill="1" applyBorder="1" applyProtection="1">
      <alignment/>
      <protection/>
    </xf>
    <xf numFmtId="0" fontId="8" fillId="29" borderId="44" xfId="0" applyFont="1" applyFill="1" applyBorder="1" applyAlignment="1" applyProtection="1">
      <alignment vertical="top"/>
      <protection/>
    </xf>
    <xf numFmtId="0" fontId="8" fillId="29" borderId="45" xfId="0" applyFont="1" applyFill="1" applyBorder="1" applyAlignment="1" applyProtection="1">
      <alignment vertical="top"/>
      <protection/>
    </xf>
    <xf numFmtId="0" fontId="8" fillId="44" borderId="44" xfId="0" applyFont="1" applyFill="1" applyBorder="1" applyAlignment="1" applyProtection="1">
      <alignment vertical="center"/>
      <protection/>
    </xf>
    <xf numFmtId="0" fontId="0" fillId="44" borderId="45" xfId="0" applyFill="1" applyBorder="1" applyAlignment="1" applyProtection="1">
      <alignment/>
      <protection/>
    </xf>
    <xf numFmtId="2" fontId="0" fillId="44" borderId="45" xfId="0" applyNumberFormat="1" applyFill="1" applyBorder="1" applyAlignment="1" applyProtection="1">
      <alignment/>
      <protection/>
    </xf>
    <xf numFmtId="0" fontId="8" fillId="44" borderId="20" xfId="0" applyFont="1" applyFill="1" applyBorder="1" applyAlignment="1" applyProtection="1">
      <alignment horizontal="center" vertical="center" wrapText="1"/>
      <protection/>
    </xf>
    <xf numFmtId="0" fontId="8" fillId="44" borderId="19" xfId="0" applyFont="1" applyFill="1" applyBorder="1" applyAlignment="1" applyProtection="1">
      <alignment horizontal="center" vertical="center" wrapText="1"/>
      <protection/>
    </xf>
    <xf numFmtId="0" fontId="8" fillId="44" borderId="45" xfId="0" applyFont="1" applyFill="1" applyBorder="1" applyAlignment="1" applyProtection="1">
      <alignment horizontal="center" vertical="center" wrapText="1"/>
      <protection/>
    </xf>
    <xf numFmtId="0" fontId="8" fillId="44" borderId="46" xfId="0" applyFont="1" applyFill="1" applyBorder="1" applyAlignment="1" applyProtection="1">
      <alignment horizontal="center" vertical="center" wrapText="1"/>
      <protection/>
    </xf>
    <xf numFmtId="0" fontId="8" fillId="0" borderId="22" xfId="0" applyFont="1" applyFill="1" applyBorder="1" applyAlignment="1" applyProtection="1">
      <alignment horizontal="center" vertical="center" wrapText="1"/>
      <protection/>
    </xf>
    <xf numFmtId="0" fontId="29" fillId="0" borderId="0" xfId="0" applyFont="1" applyFill="1" applyBorder="1" applyAlignment="1" applyProtection="1">
      <alignment vertical="top" wrapText="1"/>
      <protection/>
    </xf>
    <xf numFmtId="0" fontId="8" fillId="43" borderId="19" xfId="65" applyFont="1" applyFill="1" applyBorder="1" applyProtection="1">
      <alignment/>
      <protection/>
    </xf>
    <xf numFmtId="0" fontId="17" fillId="43" borderId="20" xfId="0" applyFont="1" applyFill="1" applyBorder="1" applyAlignment="1" applyProtection="1">
      <alignment vertical="top"/>
      <protection/>
    </xf>
    <xf numFmtId="0" fontId="8" fillId="43" borderId="20" xfId="65" applyFont="1" applyFill="1" applyBorder="1" applyProtection="1">
      <alignment/>
      <protection/>
    </xf>
    <xf numFmtId="0" fontId="8" fillId="44" borderId="19" xfId="0" applyFont="1" applyFill="1" applyBorder="1" applyAlignment="1" applyProtection="1">
      <alignment horizontal="left" vertical="top"/>
      <protection/>
    </xf>
    <xf numFmtId="0" fontId="8" fillId="44" borderId="20" xfId="0" applyFont="1" applyFill="1" applyBorder="1" applyAlignment="1" applyProtection="1">
      <alignment horizontal="left" vertical="top"/>
      <protection/>
    </xf>
    <xf numFmtId="0" fontId="0" fillId="44" borderId="20" xfId="0" applyFill="1" applyBorder="1" applyAlignment="1" applyProtection="1">
      <alignment/>
      <protection/>
    </xf>
    <xf numFmtId="0" fontId="8" fillId="0" borderId="20" xfId="65" applyFont="1" applyFill="1" applyBorder="1" applyProtection="1">
      <alignment/>
      <protection/>
    </xf>
    <xf numFmtId="0" fontId="0" fillId="44" borderId="20" xfId="0" applyFont="1" applyFill="1" applyBorder="1" applyAlignment="1" applyProtection="1">
      <alignment/>
      <protection/>
    </xf>
    <xf numFmtId="0" fontId="8" fillId="0" borderId="20" xfId="0" applyFont="1" applyFill="1" applyBorder="1" applyAlignment="1" applyProtection="1">
      <alignment horizontal="center" vertical="center" wrapText="1"/>
      <protection/>
    </xf>
    <xf numFmtId="0" fontId="8" fillId="0" borderId="19"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wrapText="1"/>
      <protection/>
    </xf>
    <xf numFmtId="0" fontId="0" fillId="36" borderId="11" xfId="0" applyFont="1" applyFill="1" applyBorder="1" applyAlignment="1" applyProtection="1">
      <alignment horizontal="center" vertical="top" wrapText="1"/>
      <protection/>
    </xf>
    <xf numFmtId="0" fontId="0" fillId="0" borderId="0" xfId="0" applyFill="1" applyBorder="1" applyAlignment="1" applyProtection="1">
      <alignment vertical="top" wrapText="1"/>
      <protection/>
    </xf>
    <xf numFmtId="0" fontId="0" fillId="36" borderId="12" xfId="0" applyFont="1" applyFill="1" applyBorder="1" applyAlignment="1" applyProtection="1">
      <alignment horizontal="center" vertical="top" wrapText="1"/>
      <protection/>
    </xf>
    <xf numFmtId="0" fontId="16" fillId="0" borderId="0" xfId="65" applyFont="1" applyBorder="1" applyAlignment="1" applyProtection="1">
      <alignment horizontal="center" vertical="top"/>
      <protection/>
    </xf>
    <xf numFmtId="0" fontId="0" fillId="36" borderId="61" xfId="0" applyFont="1" applyFill="1" applyBorder="1" applyAlignment="1" applyProtection="1">
      <alignment vertical="center" wrapText="1"/>
      <protection/>
    </xf>
    <xf numFmtId="0" fontId="0" fillId="36" borderId="62" xfId="0" applyFont="1" applyFill="1" applyBorder="1" applyAlignment="1" applyProtection="1">
      <alignment vertical="center" wrapText="1"/>
      <protection/>
    </xf>
    <xf numFmtId="0" fontId="0" fillId="36" borderId="61" xfId="0" applyFill="1" applyBorder="1" applyAlignment="1" applyProtection="1">
      <alignment horizontal="center" vertical="center" wrapText="1"/>
      <protection/>
    </xf>
    <xf numFmtId="0" fontId="6" fillId="36" borderId="63" xfId="67" applyFont="1" applyFill="1" applyBorder="1" applyAlignment="1" applyProtection="1">
      <alignment horizontal="center" vertical="center" wrapText="1"/>
      <protection/>
    </xf>
    <xf numFmtId="0" fontId="6" fillId="36" borderId="64" xfId="67" applyFont="1" applyFill="1" applyBorder="1" applyAlignment="1" applyProtection="1">
      <alignment horizontal="center" vertical="center" wrapText="1"/>
      <protection/>
    </xf>
    <xf numFmtId="0" fontId="6" fillId="36" borderId="25" xfId="67" applyFont="1" applyFill="1" applyBorder="1" applyAlignment="1" applyProtection="1">
      <alignment horizontal="center" vertical="center" wrapText="1"/>
      <protection/>
    </xf>
    <xf numFmtId="0" fontId="6" fillId="0" borderId="0" xfId="67" applyFont="1" applyFill="1" applyBorder="1" applyAlignment="1" applyProtection="1">
      <alignment horizontal="center" vertical="center" wrapText="1"/>
      <protection/>
    </xf>
    <xf numFmtId="0" fontId="0" fillId="0" borderId="51" xfId="0" applyFill="1" applyBorder="1" applyAlignment="1" applyProtection="1">
      <alignment horizontal="left" vertical="top" wrapText="1"/>
      <protection/>
    </xf>
    <xf numFmtId="0" fontId="0" fillId="0" borderId="65" xfId="0" applyFill="1" applyBorder="1" applyAlignment="1" applyProtection="1">
      <alignment horizontal="left" vertical="top" wrapText="1"/>
      <protection/>
    </xf>
    <xf numFmtId="0" fontId="0" fillId="0" borderId="61" xfId="0" applyFont="1" applyFill="1" applyBorder="1" applyAlignment="1" applyProtection="1">
      <alignment horizontal="left" vertical="top" wrapText="1"/>
      <protection/>
    </xf>
    <xf numFmtId="0" fontId="0" fillId="0" borderId="61" xfId="0" applyFont="1" applyFill="1" applyBorder="1" applyAlignment="1" applyProtection="1">
      <alignment horizontal="left" vertical="top"/>
      <protection/>
    </xf>
    <xf numFmtId="0" fontId="0" fillId="39" borderId="61" xfId="0" applyFont="1" applyFill="1" applyBorder="1" applyAlignment="1" applyProtection="1">
      <alignment horizontal="center"/>
      <protection/>
    </xf>
    <xf numFmtId="0" fontId="0" fillId="0" borderId="61" xfId="0" applyFont="1" applyFill="1" applyBorder="1" applyAlignment="1" applyProtection="1">
      <alignment horizontal="center"/>
      <protection/>
    </xf>
    <xf numFmtId="0" fontId="0" fillId="0" borderId="61" xfId="0" applyFill="1" applyBorder="1" applyAlignment="1" applyProtection="1">
      <alignment horizontal="left" vertical="top" wrapText="1"/>
      <protection/>
    </xf>
    <xf numFmtId="0" fontId="0" fillId="0" borderId="66" xfId="0" applyFont="1" applyFill="1" applyBorder="1" applyAlignment="1" applyProtection="1">
      <alignment horizontal="left" vertical="top"/>
      <protection/>
    </xf>
    <xf numFmtId="0" fontId="0" fillId="36" borderId="41" xfId="0" applyFont="1" applyFill="1" applyBorder="1" applyAlignment="1" applyProtection="1">
      <alignment horizontal="center" vertical="center" wrapText="1"/>
      <protection/>
    </xf>
    <xf numFmtId="0" fontId="0" fillId="36" borderId="27" xfId="0" applyFont="1" applyFill="1" applyBorder="1" applyAlignment="1" applyProtection="1">
      <alignment horizontal="center" vertical="center" wrapText="1"/>
      <protection/>
    </xf>
    <xf numFmtId="0" fontId="0" fillId="36" borderId="28" xfId="0" applyFont="1" applyFill="1" applyBorder="1" applyAlignment="1" applyProtection="1">
      <alignment vertical="center" wrapText="1"/>
      <protection/>
    </xf>
    <xf numFmtId="0" fontId="0" fillId="36" borderId="14" xfId="0" applyFont="1" applyFill="1" applyBorder="1" applyAlignment="1" applyProtection="1">
      <alignment vertical="center" wrapText="1"/>
      <protection/>
    </xf>
    <xf numFmtId="0" fontId="0" fillId="36" borderId="28" xfId="0" applyFont="1" applyFill="1" applyBorder="1" applyAlignment="1" applyProtection="1">
      <alignment horizontal="center" vertical="center" wrapText="1"/>
      <protection/>
    </xf>
    <xf numFmtId="0" fontId="0" fillId="36" borderId="40" xfId="0" applyFill="1" applyBorder="1" applyAlignment="1" applyProtection="1">
      <alignment horizontal="center" vertical="top" wrapText="1"/>
      <protection/>
    </xf>
    <xf numFmtId="0" fontId="0" fillId="36" borderId="27" xfId="0" applyFill="1" applyBorder="1" applyAlignment="1" applyProtection="1">
      <alignment horizontal="center" vertical="top" wrapText="1"/>
      <protection/>
    </xf>
    <xf numFmtId="0" fontId="0" fillId="36" borderId="27" xfId="0" applyFont="1" applyFill="1" applyBorder="1" applyAlignment="1" applyProtection="1">
      <alignment horizontal="center" vertical="top" wrapText="1"/>
      <protection/>
    </xf>
    <xf numFmtId="0" fontId="0" fillId="0" borderId="27" xfId="0" applyFont="1" applyFill="1" applyBorder="1" applyAlignment="1" applyProtection="1">
      <alignment horizontal="center" vertical="top" wrapText="1"/>
      <protection/>
    </xf>
    <xf numFmtId="0" fontId="0" fillId="36" borderId="43" xfId="0" applyFill="1" applyBorder="1" applyAlignment="1" applyProtection="1">
      <alignment horizontal="center" vertical="top" wrapText="1"/>
      <protection/>
    </xf>
    <xf numFmtId="0" fontId="6" fillId="36" borderId="40" xfId="67" applyFont="1" applyFill="1" applyBorder="1" applyAlignment="1" applyProtection="1">
      <alignment horizontal="center" vertical="center" wrapText="1"/>
      <protection/>
    </xf>
    <xf numFmtId="209" fontId="6" fillId="36" borderId="27" xfId="67" applyNumberFormat="1" applyFont="1" applyFill="1" applyBorder="1" applyAlignment="1" applyProtection="1">
      <alignment horizontal="center" vertical="center" wrapText="1"/>
      <protection/>
    </xf>
    <xf numFmtId="209" fontId="6" fillId="36" borderId="12" xfId="67" applyNumberFormat="1" applyFont="1" applyFill="1" applyBorder="1" applyAlignment="1" applyProtection="1">
      <alignment horizontal="center" vertical="center" wrapText="1"/>
      <protection/>
    </xf>
    <xf numFmtId="209" fontId="6" fillId="36" borderId="43" xfId="67" applyNumberFormat="1" applyFont="1" applyFill="1" applyBorder="1" applyAlignment="1" applyProtection="1">
      <alignment horizontal="center" vertical="center" wrapText="1"/>
      <protection/>
    </xf>
    <xf numFmtId="0" fontId="0" fillId="36" borderId="67" xfId="0" applyFont="1" applyFill="1" applyBorder="1" applyAlignment="1" applyProtection="1">
      <alignment horizontal="center" vertical="center" wrapText="1"/>
      <protection/>
    </xf>
    <xf numFmtId="0" fontId="0" fillId="36" borderId="49" xfId="0" applyFont="1" applyFill="1" applyBorder="1" applyAlignment="1" applyProtection="1">
      <alignment horizontal="center" vertical="center" wrapText="1"/>
      <protection/>
    </xf>
    <xf numFmtId="0" fontId="0" fillId="36" borderId="67" xfId="0" applyFont="1" applyFill="1" applyBorder="1" applyAlignment="1" applyProtection="1">
      <alignment vertical="center" wrapText="1"/>
      <protection/>
    </xf>
    <xf numFmtId="0" fontId="0" fillId="36" borderId="47" xfId="0" applyFont="1" applyFill="1" applyBorder="1" applyAlignment="1" applyProtection="1">
      <alignment horizontal="center" vertical="top" wrapText="1"/>
      <protection/>
    </xf>
    <xf numFmtId="0" fontId="6" fillId="0" borderId="47" xfId="0" applyFont="1" applyFill="1" applyBorder="1" applyAlignment="1" applyProtection="1">
      <alignment horizontal="center" vertical="top" wrapText="1"/>
      <protection/>
    </xf>
    <xf numFmtId="0" fontId="6" fillId="0" borderId="49" xfId="0" applyFont="1" applyFill="1" applyBorder="1" applyAlignment="1" applyProtection="1">
      <alignment horizontal="center" vertical="top" wrapText="1"/>
      <protection/>
    </xf>
    <xf numFmtId="0" fontId="6" fillId="40" borderId="49" xfId="67" applyFont="1" applyFill="1" applyBorder="1" applyAlignment="1" applyProtection="1">
      <alignment horizontal="center" vertical="top" wrapText="1"/>
      <protection/>
    </xf>
    <xf numFmtId="209" fontId="6" fillId="40" borderId="27" xfId="67" applyNumberFormat="1" applyFont="1" applyFill="1" applyBorder="1" applyAlignment="1" applyProtection="1">
      <alignment horizontal="center" vertical="top" wrapText="1"/>
      <protection/>
    </xf>
    <xf numFmtId="209" fontId="6" fillId="40" borderId="12" xfId="67" applyNumberFormat="1" applyFont="1" applyFill="1" applyBorder="1" applyAlignment="1" applyProtection="1">
      <alignment horizontal="center" vertical="top" wrapText="1"/>
      <protection/>
    </xf>
    <xf numFmtId="0" fontId="6" fillId="39" borderId="49" xfId="67" applyFont="1" applyFill="1" applyBorder="1" applyAlignment="1" applyProtection="1">
      <alignment horizontal="center" vertical="top" wrapText="1"/>
      <protection/>
    </xf>
    <xf numFmtId="209" fontId="6" fillId="39" borderId="27" xfId="67" applyNumberFormat="1" applyFont="1" applyFill="1" applyBorder="1" applyAlignment="1" applyProtection="1">
      <alignment horizontal="center" vertical="top" wrapText="1"/>
      <protection/>
    </xf>
    <xf numFmtId="209" fontId="6" fillId="39" borderId="12" xfId="67" applyNumberFormat="1" applyFont="1" applyFill="1" applyBorder="1" applyAlignment="1" applyProtection="1">
      <alignment horizontal="center" vertical="top" wrapText="1"/>
      <protection/>
    </xf>
    <xf numFmtId="209" fontId="6" fillId="45" borderId="33" xfId="67" applyNumberFormat="1" applyFont="1" applyFill="1" applyBorder="1" applyAlignment="1" applyProtection="1">
      <alignment horizontal="center" vertical="top" wrapText="1"/>
      <protection/>
    </xf>
    <xf numFmtId="0" fontId="0" fillId="36" borderId="19" xfId="67" applyFont="1" applyFill="1" applyBorder="1" applyAlignment="1" applyProtection="1">
      <alignment horizontal="center" vertical="top" wrapText="1"/>
      <protection/>
    </xf>
    <xf numFmtId="0" fontId="6" fillId="0" borderId="68" xfId="67" applyFont="1" applyFill="1" applyBorder="1" applyAlignment="1" applyProtection="1">
      <alignment horizontal="center" vertical="top" wrapText="1"/>
      <protection/>
    </xf>
    <xf numFmtId="0" fontId="6" fillId="36" borderId="68" xfId="67" applyFont="1" applyFill="1" applyBorder="1" applyAlignment="1" applyProtection="1">
      <alignment horizontal="center" vertical="top" wrapText="1"/>
      <protection/>
    </xf>
    <xf numFmtId="0" fontId="6" fillId="36" borderId="69" xfId="67" applyFont="1" applyFill="1" applyBorder="1" applyAlignment="1" applyProtection="1">
      <alignment horizontal="center" vertical="top" wrapText="1"/>
      <protection/>
    </xf>
    <xf numFmtId="0" fontId="0" fillId="39" borderId="68" xfId="0" applyFont="1" applyFill="1" applyBorder="1" applyAlignment="1" applyProtection="1">
      <alignment horizontal="left" vertical="top" wrapText="1"/>
      <protection/>
    </xf>
    <xf numFmtId="0" fontId="0" fillId="39" borderId="66" xfId="0" applyFont="1" applyFill="1" applyBorder="1" applyAlignment="1" applyProtection="1">
      <alignment horizontal="left" vertical="top" wrapText="1"/>
      <protection/>
    </xf>
    <xf numFmtId="0" fontId="44" fillId="0" borderId="0" xfId="65" applyFont="1" applyFill="1" applyBorder="1" applyAlignment="1" applyProtection="1">
      <alignment horizontal="center" vertical="top" wrapText="1"/>
      <protection/>
    </xf>
    <xf numFmtId="0" fontId="6" fillId="0" borderId="34" xfId="0" applyFont="1" applyFill="1" applyBorder="1" applyAlignment="1" applyProtection="1">
      <alignment horizontal="left" vertical="top" wrapText="1"/>
      <protection/>
    </xf>
    <xf numFmtId="0" fontId="6" fillId="0" borderId="29" xfId="0" applyFont="1" applyFill="1" applyBorder="1" applyAlignment="1" applyProtection="1">
      <alignment horizontal="left" vertical="top" wrapText="1"/>
      <protection/>
    </xf>
    <xf numFmtId="0" fontId="6" fillId="42" borderId="70" xfId="0" applyFont="1" applyFill="1" applyBorder="1" applyAlignment="1" applyProtection="1">
      <alignment horizontal="left" vertical="top" wrapText="1"/>
      <protection/>
    </xf>
    <xf numFmtId="0" fontId="6" fillId="0" borderId="44" xfId="0" applyFont="1" applyFill="1" applyBorder="1" applyAlignment="1" applyProtection="1">
      <alignment horizontal="left" vertical="top" wrapText="1"/>
      <protection/>
    </xf>
    <xf numFmtId="0" fontId="0" fillId="0" borderId="68" xfId="0" applyFont="1" applyFill="1" applyBorder="1" applyAlignment="1" applyProtection="1">
      <alignment horizontal="left" vertical="top" wrapText="1"/>
      <protection/>
    </xf>
    <xf numFmtId="0" fontId="0" fillId="0" borderId="69" xfId="0" applyFont="1" applyFill="1" applyBorder="1" applyAlignment="1" applyProtection="1">
      <alignment horizontal="left" vertical="top" wrapText="1"/>
      <protection/>
    </xf>
    <xf numFmtId="0" fontId="0" fillId="39" borderId="69" xfId="0" applyFont="1" applyFill="1" applyBorder="1" applyAlignment="1" applyProtection="1">
      <alignment horizontal="left" vertical="top" wrapText="1"/>
      <protection/>
    </xf>
    <xf numFmtId="0" fontId="6" fillId="0" borderId="68" xfId="0" applyFont="1" applyFill="1" applyBorder="1" applyAlignment="1" applyProtection="1">
      <alignment horizontal="left" vertical="top" wrapText="1"/>
      <protection/>
    </xf>
    <xf numFmtId="0" fontId="6" fillId="0" borderId="45" xfId="0" applyFont="1" applyFill="1" applyBorder="1" applyAlignment="1" applyProtection="1">
      <alignment horizontal="left" vertical="top" wrapText="1"/>
      <protection/>
    </xf>
    <xf numFmtId="0" fontId="6" fillId="42" borderId="44" xfId="0" applyFont="1" applyFill="1" applyBorder="1" applyAlignment="1" applyProtection="1">
      <alignment horizontal="left" vertical="top" wrapText="1"/>
      <protection/>
    </xf>
    <xf numFmtId="0" fontId="6" fillId="0" borderId="71" xfId="0" applyFont="1" applyFill="1" applyBorder="1" applyAlignment="1" applyProtection="1">
      <alignment horizontal="left" vertical="top" wrapText="1"/>
      <protection/>
    </xf>
    <xf numFmtId="0" fontId="6" fillId="42" borderId="71" xfId="0" applyFont="1" applyFill="1" applyBorder="1" applyAlignment="1" applyProtection="1">
      <alignment horizontal="left" vertical="top" wrapText="1"/>
      <protection/>
    </xf>
    <xf numFmtId="0" fontId="6" fillId="0" borderId="46" xfId="0" applyFont="1" applyFill="1" applyBorder="1" applyAlignment="1" applyProtection="1">
      <alignment horizontal="left" vertical="top" wrapText="1"/>
      <protection/>
    </xf>
    <xf numFmtId="0" fontId="0" fillId="42" borderId="51" xfId="0" applyFill="1" applyBorder="1" applyAlignment="1" applyProtection="1">
      <alignment horizontal="left" vertical="top" wrapText="1"/>
      <protection/>
    </xf>
    <xf numFmtId="0" fontId="0" fillId="42" borderId="65" xfId="0" applyFill="1" applyBorder="1" applyAlignment="1" applyProtection="1">
      <alignment horizontal="left" vertical="top" wrapText="1"/>
      <protection/>
    </xf>
    <xf numFmtId="0" fontId="0" fillId="42" borderId="55" xfId="0" applyFill="1" applyBorder="1" applyAlignment="1" applyProtection="1">
      <alignment horizontal="left" vertical="top" wrapText="1"/>
      <protection/>
    </xf>
    <xf numFmtId="0" fontId="0" fillId="42" borderId="65" xfId="0" applyFont="1" applyFill="1" applyBorder="1" applyAlignment="1" applyProtection="1">
      <alignment horizontal="left" vertical="top" wrapText="1"/>
      <protection/>
    </xf>
    <xf numFmtId="0" fontId="0" fillId="42" borderId="53" xfId="0" applyFill="1" applyBorder="1" applyAlignment="1" applyProtection="1">
      <alignment horizontal="left" vertical="top" wrapText="1"/>
      <protection/>
    </xf>
    <xf numFmtId="0" fontId="0" fillId="42" borderId="72" xfId="0" applyFill="1" applyBorder="1" applyAlignment="1" applyProtection="1">
      <alignment horizontal="left" vertical="top" wrapText="1"/>
      <protection/>
    </xf>
    <xf numFmtId="2" fontId="0" fillId="42" borderId="65" xfId="0" applyNumberFormat="1" applyFill="1" applyBorder="1" applyAlignment="1" applyProtection="1">
      <alignment horizontal="left" vertical="top" wrapText="1"/>
      <protection/>
    </xf>
    <xf numFmtId="0" fontId="43" fillId="42" borderId="72" xfId="0" applyFont="1" applyFill="1" applyBorder="1" applyAlignment="1" applyProtection="1">
      <alignment horizontal="left" vertical="top" wrapText="1"/>
      <protection/>
    </xf>
    <xf numFmtId="0" fontId="42" fillId="42" borderId="72" xfId="0" applyFont="1" applyFill="1" applyBorder="1" applyAlignment="1" applyProtection="1">
      <alignment horizontal="left" vertical="top" wrapText="1"/>
      <protection/>
    </xf>
    <xf numFmtId="0" fontId="28" fillId="42" borderId="72" xfId="0" applyFont="1" applyFill="1" applyBorder="1" applyAlignment="1" applyProtection="1">
      <alignment horizontal="left" vertical="top" wrapText="1"/>
      <protection/>
    </xf>
    <xf numFmtId="0" fontId="6" fillId="42" borderId="51" xfId="0" applyFont="1" applyFill="1" applyBorder="1" applyAlignment="1" applyProtection="1">
      <alignment horizontal="left" vertical="top" wrapText="1"/>
      <protection/>
    </xf>
    <xf numFmtId="0" fontId="6" fillId="42" borderId="65" xfId="0" applyFont="1" applyFill="1" applyBorder="1" applyAlignment="1" applyProtection="1">
      <alignment horizontal="left" vertical="top" wrapText="1"/>
      <protection/>
    </xf>
    <xf numFmtId="0" fontId="0" fillId="42" borderId="52" xfId="0" applyFill="1" applyBorder="1" applyAlignment="1" applyProtection="1">
      <alignment horizontal="center" vertical="top" wrapText="1"/>
      <protection/>
    </xf>
    <xf numFmtId="209" fontId="6" fillId="42" borderId="65" xfId="0" applyNumberFormat="1" applyFont="1" applyFill="1" applyBorder="1" applyAlignment="1" applyProtection="1">
      <alignment horizontal="left" vertical="top" wrapText="1"/>
      <protection/>
    </xf>
    <xf numFmtId="0" fontId="0" fillId="42" borderId="53" xfId="0" applyFill="1" applyBorder="1" applyAlignment="1" applyProtection="1">
      <alignment horizontal="center" vertical="top" wrapText="1"/>
      <protection/>
    </xf>
    <xf numFmtId="0" fontId="0" fillId="42" borderId="51" xfId="0" applyFill="1" applyBorder="1" applyAlignment="1" applyProtection="1">
      <alignment horizontal="center" vertical="top" wrapText="1"/>
      <protection/>
    </xf>
    <xf numFmtId="0" fontId="0" fillId="42" borderId="20" xfId="0" applyFill="1" applyBorder="1" applyAlignment="1" applyProtection="1">
      <alignment horizontal="center" vertical="top" wrapText="1"/>
      <protection/>
    </xf>
    <xf numFmtId="0" fontId="0" fillId="42" borderId="20" xfId="0" applyFont="1" applyFill="1" applyBorder="1" applyAlignment="1" applyProtection="1">
      <alignment horizontal="center" vertical="top" wrapText="1"/>
      <protection/>
    </xf>
    <xf numFmtId="0" fontId="0" fillId="42" borderId="55" xfId="0" applyFont="1" applyFill="1" applyBorder="1" applyAlignment="1" applyProtection="1">
      <alignment horizontal="center" vertical="top" wrapText="1"/>
      <protection/>
    </xf>
    <xf numFmtId="0" fontId="0" fillId="42" borderId="52" xfId="0" applyFont="1" applyFill="1" applyBorder="1" applyAlignment="1" applyProtection="1">
      <alignment horizontal="center" vertical="top" wrapText="1"/>
      <protection/>
    </xf>
    <xf numFmtId="0" fontId="0" fillId="42" borderId="50" xfId="0" applyFont="1" applyFill="1" applyBorder="1" applyAlignment="1" applyProtection="1">
      <alignment horizontal="center" vertical="top" wrapText="1"/>
      <protection/>
    </xf>
    <xf numFmtId="0" fontId="6" fillId="0" borderId="10" xfId="0" applyFont="1" applyFill="1" applyBorder="1" applyAlignment="1" applyProtection="1">
      <alignment horizontal="left" vertical="top" wrapText="1"/>
      <protection/>
    </xf>
    <xf numFmtId="0" fontId="0" fillId="0" borderId="32" xfId="0" applyFont="1" applyFill="1" applyBorder="1" applyAlignment="1" applyProtection="1">
      <alignment horizontal="center" vertical="top" wrapText="1"/>
      <protection/>
    </xf>
    <xf numFmtId="209" fontId="0" fillId="40" borderId="32" xfId="0" applyNumberFormat="1" applyFont="1" applyFill="1" applyBorder="1" applyAlignment="1" applyProtection="1">
      <alignment horizontal="left" vertical="top" wrapText="1"/>
      <protection/>
    </xf>
    <xf numFmtId="0" fontId="0" fillId="0" borderId="16" xfId="0" applyFont="1" applyFill="1" applyBorder="1" applyAlignment="1" applyProtection="1">
      <alignment horizontal="left" vertical="top" wrapText="1"/>
      <protection/>
    </xf>
    <xf numFmtId="0" fontId="0" fillId="0" borderId="38" xfId="0" applyFont="1" applyFill="1" applyBorder="1" applyAlignment="1" applyProtection="1">
      <alignment horizontal="left" vertical="top" wrapText="1"/>
      <protection/>
    </xf>
    <xf numFmtId="0" fontId="0" fillId="0" borderId="32" xfId="0" applyNumberFormat="1" applyFont="1" applyFill="1" applyBorder="1" applyAlignment="1" applyProtection="1" quotePrefix="1">
      <alignment horizontal="left" vertical="top" wrapText="1"/>
      <protection/>
    </xf>
    <xf numFmtId="16" fontId="0" fillId="0" borderId="38" xfId="0" applyNumberFormat="1" applyFont="1" applyFill="1" applyBorder="1" applyAlignment="1" applyProtection="1" quotePrefix="1">
      <alignment horizontal="left" vertical="top" wrapText="1"/>
      <protection/>
    </xf>
    <xf numFmtId="0" fontId="0" fillId="0" borderId="53" xfId="0" applyFont="1" applyFill="1" applyBorder="1" applyAlignment="1" applyProtection="1">
      <alignment horizontal="left" vertical="top" wrapText="1"/>
      <protection/>
    </xf>
    <xf numFmtId="0" fontId="0" fillId="42" borderId="73" xfId="0" applyFill="1" applyBorder="1" applyAlignment="1" applyProtection="1">
      <alignment horizontal="left" vertical="top" wrapText="1"/>
      <protection/>
    </xf>
    <xf numFmtId="0" fontId="0" fillId="42" borderId="48" xfId="0" applyFont="1" applyFill="1" applyBorder="1" applyAlignment="1" applyProtection="1">
      <alignment horizontal="left" vertical="center" wrapText="1"/>
      <protection/>
    </xf>
    <xf numFmtId="0" fontId="0" fillId="42" borderId="48" xfId="0" applyFont="1" applyFill="1" applyBorder="1" applyAlignment="1" applyProtection="1">
      <alignment vertical="center" wrapText="1"/>
      <protection/>
    </xf>
    <xf numFmtId="0" fontId="0" fillId="42" borderId="48" xfId="0" applyFill="1" applyBorder="1" applyAlignment="1" applyProtection="1">
      <alignment horizontal="left" vertical="top" wrapText="1"/>
      <protection/>
    </xf>
    <xf numFmtId="2" fontId="0" fillId="42" borderId="48" xfId="0" applyNumberFormat="1" applyFill="1" applyBorder="1" applyAlignment="1" applyProtection="1">
      <alignment horizontal="left" vertical="top" wrapText="1"/>
      <protection/>
    </xf>
    <xf numFmtId="0" fontId="0" fillId="42" borderId="74" xfId="0" applyFill="1" applyBorder="1" applyAlignment="1" applyProtection="1">
      <alignment horizontal="left" vertical="top" wrapText="1"/>
      <protection/>
    </xf>
    <xf numFmtId="0" fontId="0" fillId="0" borderId="0" xfId="0" applyFill="1" applyAlignment="1" applyProtection="1">
      <alignment/>
      <protection/>
    </xf>
    <xf numFmtId="0" fontId="0" fillId="38" borderId="0" xfId="0" applyFont="1" applyFill="1" applyAlignment="1" applyProtection="1">
      <alignment horizontal="left" vertical="top" wrapText="1"/>
      <protection/>
    </xf>
    <xf numFmtId="0" fontId="7" fillId="0" borderId="0" xfId="0" applyFont="1" applyFill="1" applyAlignment="1" applyProtection="1">
      <alignment/>
      <protection/>
    </xf>
    <xf numFmtId="0" fontId="7" fillId="0" borderId="0" xfId="0" applyFont="1" applyFill="1" applyAlignment="1" applyProtection="1">
      <alignment horizontal="center"/>
      <protection/>
    </xf>
    <xf numFmtId="2" fontId="7" fillId="0" borderId="0" xfId="0" applyNumberFormat="1" applyFont="1" applyFill="1" applyAlignment="1" applyProtection="1">
      <alignment/>
      <protection/>
    </xf>
    <xf numFmtId="0" fontId="22" fillId="0" borderId="0" xfId="0" applyFont="1" applyFill="1" applyAlignment="1" applyProtection="1">
      <alignment horizontal="center"/>
      <protection/>
    </xf>
    <xf numFmtId="0" fontId="7" fillId="0" borderId="0" xfId="0" applyFont="1" applyFill="1" applyAlignment="1" applyProtection="1">
      <alignment horizontal="center" vertical="top"/>
      <protection/>
    </xf>
    <xf numFmtId="0" fontId="23" fillId="0" borderId="0" xfId="0" applyFont="1" applyFill="1" applyBorder="1" applyAlignment="1" applyProtection="1">
      <alignment vertical="center" wrapText="1"/>
      <protection/>
    </xf>
    <xf numFmtId="0" fontId="0" fillId="0" borderId="0" xfId="0" applyFont="1" applyFill="1" applyAlignment="1" applyProtection="1">
      <alignment horizontal="center" vertical="top" wrapText="1"/>
      <protection/>
    </xf>
    <xf numFmtId="0" fontId="0" fillId="0" borderId="0" xfId="0" applyFont="1" applyFill="1" applyAlignment="1" applyProtection="1">
      <alignment horizontal="right" vertical="top" wrapText="1"/>
      <protection/>
    </xf>
    <xf numFmtId="2" fontId="0" fillId="0" borderId="0" xfId="0" applyNumberFormat="1" applyFont="1" applyFill="1" applyAlignment="1" applyProtection="1">
      <alignment horizontal="center" vertical="top" wrapText="1"/>
      <protection/>
    </xf>
    <xf numFmtId="0" fontId="5" fillId="0" borderId="0" xfId="0" applyFont="1" applyAlignment="1" applyProtection="1">
      <alignment horizontal="center"/>
      <protection/>
    </xf>
    <xf numFmtId="0" fontId="1" fillId="0" borderId="0" xfId="0" applyFont="1" applyFill="1" applyAlignment="1" applyProtection="1">
      <alignment horizontal="center" vertical="center" wrapText="1"/>
      <protection/>
    </xf>
    <xf numFmtId="0" fontId="7" fillId="0" borderId="0" xfId="0" applyFont="1" applyAlignment="1" applyProtection="1">
      <alignment horizontal="center"/>
      <protection/>
    </xf>
    <xf numFmtId="0" fontId="0" fillId="0" borderId="0" xfId="0" applyFont="1" applyAlignment="1" applyProtection="1">
      <alignment/>
      <protection/>
    </xf>
    <xf numFmtId="0" fontId="23" fillId="0" borderId="0" xfId="0" applyFont="1" applyBorder="1" applyAlignment="1" applyProtection="1">
      <alignment horizontal="left" vertical="center" wrapText="1"/>
      <protection/>
    </xf>
    <xf numFmtId="0" fontId="0" fillId="0" borderId="0" xfId="0" applyBorder="1" applyAlignment="1" applyProtection="1">
      <alignment horizontal="center"/>
      <protection/>
    </xf>
    <xf numFmtId="0" fontId="6" fillId="0" borderId="0" xfId="0" applyFont="1" applyFill="1" applyBorder="1" applyAlignment="1" applyProtection="1">
      <alignment vertical="center" wrapText="1"/>
      <protection/>
    </xf>
    <xf numFmtId="0" fontId="5" fillId="0" borderId="0" xfId="0" applyFont="1" applyBorder="1" applyAlignment="1" applyProtection="1">
      <alignment horizontal="center"/>
      <protection/>
    </xf>
    <xf numFmtId="0" fontId="23" fillId="0" borderId="0" xfId="0" applyFont="1" applyFill="1" applyBorder="1" applyAlignment="1" applyProtection="1">
      <alignment vertical="top" wrapText="1"/>
      <protection/>
    </xf>
    <xf numFmtId="0" fontId="0" fillId="42" borderId="72" xfId="0" applyFont="1" applyFill="1" applyBorder="1" applyAlignment="1" applyProtection="1">
      <alignment horizontal="left" vertical="top" wrapText="1"/>
      <protection/>
    </xf>
    <xf numFmtId="0" fontId="0" fillId="46" borderId="27" xfId="0" applyFont="1" applyFill="1" applyBorder="1" applyAlignment="1" applyProtection="1">
      <alignment horizontal="center" vertical="top" wrapText="1"/>
      <protection/>
    </xf>
    <xf numFmtId="0" fontId="9" fillId="0" borderId="0" xfId="60" applyFont="1" applyBorder="1">
      <alignment/>
      <protection/>
    </xf>
    <xf numFmtId="0" fontId="9" fillId="0" borderId="0" xfId="60" applyFont="1" applyBorder="1" applyAlignment="1">
      <alignment/>
      <protection/>
    </xf>
    <xf numFmtId="0" fontId="79" fillId="0" borderId="10" xfId="0" applyFont="1" applyBorder="1" applyAlignment="1">
      <alignment/>
    </xf>
    <xf numFmtId="0" fontId="79" fillId="0" borderId="10" xfId="0" applyFont="1" applyBorder="1" applyAlignment="1">
      <alignment wrapText="1"/>
    </xf>
    <xf numFmtId="1" fontId="0" fillId="35" borderId="10" xfId="0" applyNumberFormat="1" applyFont="1" applyFill="1" applyBorder="1" applyAlignment="1" applyProtection="1">
      <alignment horizontal="left" vertical="top" wrapText="1"/>
      <protection locked="0"/>
    </xf>
    <xf numFmtId="0" fontId="40" fillId="0" borderId="10" xfId="0" applyFont="1" applyFill="1" applyBorder="1" applyAlignment="1" applyProtection="1">
      <alignment horizontal="left" vertical="top" wrapText="1"/>
      <protection locked="0"/>
    </xf>
    <xf numFmtId="0" fontId="40" fillId="0" borderId="27" xfId="0" applyFont="1" applyFill="1" applyBorder="1" applyAlignment="1" applyProtection="1">
      <alignment horizontal="left" vertical="top" wrapText="1"/>
      <protection locked="0"/>
    </xf>
    <xf numFmtId="2" fontId="0" fillId="0" borderId="32" xfId="0" applyNumberFormat="1" applyFont="1" applyBorder="1" applyAlignment="1" applyProtection="1">
      <alignment horizontal="left"/>
      <protection locked="0"/>
    </xf>
    <xf numFmtId="2" fontId="0" fillId="0" borderId="10" xfId="0" applyNumberFormat="1" applyFont="1" applyBorder="1" applyAlignment="1" applyProtection="1">
      <alignment horizontal="left"/>
      <protection locked="0"/>
    </xf>
    <xf numFmtId="2" fontId="0" fillId="0" borderId="27" xfId="0" applyNumberFormat="1" applyFont="1" applyBorder="1" applyAlignment="1" applyProtection="1">
      <alignment horizontal="left"/>
      <protection locked="0"/>
    </xf>
    <xf numFmtId="209" fontId="0" fillId="0" borderId="10" xfId="0" applyNumberFormat="1" applyFont="1" applyBorder="1" applyAlignment="1" applyProtection="1">
      <alignment horizontal="left"/>
      <protection locked="0"/>
    </xf>
    <xf numFmtId="2" fontId="0" fillId="47" borderId="10" xfId="0" applyNumberFormat="1" applyFont="1" applyFill="1" applyBorder="1" applyAlignment="1" applyProtection="1">
      <alignment horizontal="left" vertical="top" wrapText="1"/>
      <protection/>
    </xf>
    <xf numFmtId="0" fontId="6" fillId="33" borderId="10" xfId="65" applyNumberFormat="1" applyFont="1" applyFill="1" applyBorder="1" applyAlignment="1" applyProtection="1">
      <alignment horizontal="center" vertical="center"/>
      <protection locked="0"/>
    </xf>
    <xf numFmtId="0" fontId="0" fillId="0" borderId="75" xfId="0" applyFill="1" applyBorder="1" applyAlignment="1" applyProtection="1">
      <alignment horizontal="center" vertical="top" wrapText="1"/>
      <protection/>
    </xf>
    <xf numFmtId="0" fontId="0" fillId="0" borderId="76" xfId="0" applyFill="1" applyBorder="1" applyAlignment="1" applyProtection="1">
      <alignment horizontal="center" vertical="top" wrapText="1"/>
      <protection/>
    </xf>
    <xf numFmtId="0" fontId="8" fillId="38" borderId="77" xfId="0" applyFont="1" applyFill="1" applyBorder="1" applyAlignment="1" applyProtection="1">
      <alignment horizontal="center" vertical="top" wrapText="1"/>
      <protection/>
    </xf>
    <xf numFmtId="0" fontId="6" fillId="48" borderId="70" xfId="0" applyFont="1" applyFill="1" applyBorder="1" applyAlignment="1" applyProtection="1">
      <alignment horizontal="center" vertical="top" wrapText="1"/>
      <protection/>
    </xf>
    <xf numFmtId="0" fontId="79" fillId="0" borderId="17" xfId="0" applyFont="1" applyBorder="1" applyAlignment="1">
      <alignment/>
    </xf>
    <xf numFmtId="2" fontId="29" fillId="0" borderId="17" xfId="0" applyNumberFormat="1" applyFont="1" applyFill="1" applyBorder="1" applyAlignment="1" applyProtection="1">
      <alignment horizontal="left" vertical="top" wrapText="1"/>
      <protection/>
    </xf>
    <xf numFmtId="2" fontId="29" fillId="0" borderId="0" xfId="0" applyNumberFormat="1" applyFont="1" applyFill="1" applyBorder="1" applyAlignment="1" applyProtection="1">
      <alignment horizontal="left" vertical="top" wrapText="1"/>
      <protection/>
    </xf>
    <xf numFmtId="11" fontId="29" fillId="0" borderId="0" xfId="0" applyNumberFormat="1" applyFont="1" applyFill="1" applyBorder="1" applyAlignment="1" applyProtection="1">
      <alignment horizontal="left" vertical="top" wrapText="1"/>
      <protection/>
    </xf>
    <xf numFmtId="2" fontId="0" fillId="0" borderId="0" xfId="0" applyNumberFormat="1" applyFont="1" applyFill="1" applyBorder="1" applyAlignment="1" applyProtection="1">
      <alignment horizontal="left" vertical="top" wrapText="1"/>
      <protection/>
    </xf>
    <xf numFmtId="0" fontId="0" fillId="49" borderId="69" xfId="0" applyFont="1" applyFill="1" applyBorder="1" applyAlignment="1" applyProtection="1">
      <alignment horizontal="left" vertical="top" wrapText="1"/>
      <protection/>
    </xf>
    <xf numFmtId="2" fontId="6" fillId="36" borderId="10" xfId="0" applyNumberFormat="1" applyFont="1" applyFill="1" applyBorder="1" applyAlignment="1">
      <alignment horizontal="center" wrapText="1"/>
    </xf>
    <xf numFmtId="2" fontId="0" fillId="0" borderId="0" xfId="0" applyNumberFormat="1" applyAlignment="1">
      <alignment wrapText="1"/>
    </xf>
    <xf numFmtId="2" fontId="0" fillId="0" borderId="0" xfId="0" applyNumberFormat="1" applyFont="1" applyAlignment="1">
      <alignment wrapText="1"/>
    </xf>
    <xf numFmtId="2" fontId="0" fillId="47" borderId="10" xfId="0" applyNumberFormat="1" applyFill="1" applyBorder="1" applyAlignment="1" applyProtection="1">
      <alignment horizontal="left" vertical="top" wrapText="1"/>
      <protection/>
    </xf>
    <xf numFmtId="2" fontId="0" fillId="50" borderId="10" xfId="0" applyNumberFormat="1" applyFill="1" applyBorder="1" applyAlignment="1" applyProtection="1">
      <alignment horizontal="left" vertical="top" wrapText="1"/>
      <protection/>
    </xf>
    <xf numFmtId="0" fontId="0" fillId="50" borderId="10" xfId="0" applyFill="1" applyBorder="1" applyAlignment="1" applyProtection="1">
      <alignment horizontal="center" vertical="top" wrapText="1"/>
      <protection/>
    </xf>
    <xf numFmtId="219" fontId="0" fillId="50" borderId="27" xfId="0" applyNumberFormat="1" applyFill="1" applyBorder="1" applyAlignment="1" applyProtection="1">
      <alignment/>
      <protection locked="0"/>
    </xf>
    <xf numFmtId="0" fontId="0" fillId="50" borderId="10" xfId="0" applyFill="1" applyBorder="1" applyAlignment="1" applyProtection="1">
      <alignment/>
      <protection locked="0"/>
    </xf>
    <xf numFmtId="2" fontId="0" fillId="50" borderId="27" xfId="0" applyNumberFormat="1" applyFill="1" applyBorder="1" applyAlignment="1" applyProtection="1">
      <alignment/>
      <protection locked="0"/>
    </xf>
    <xf numFmtId="2" fontId="0" fillId="50" borderId="10" xfId="0" applyNumberFormat="1" applyFill="1" applyBorder="1" applyAlignment="1" applyProtection="1">
      <alignment/>
      <protection locked="0"/>
    </xf>
    <xf numFmtId="0" fontId="6" fillId="48" borderId="70" xfId="0" applyFont="1" applyFill="1" applyBorder="1" applyAlignment="1" applyProtection="1">
      <alignment horizontal="center" vertical="top" wrapText="1"/>
      <protection locked="0"/>
    </xf>
    <xf numFmtId="0" fontId="0" fillId="0" borderId="18" xfId="0" applyNumberFormat="1" applyFont="1" applyFill="1" applyBorder="1" applyAlignment="1" applyProtection="1">
      <alignment horizontal="left" vertical="top" wrapText="1"/>
      <protection/>
    </xf>
    <xf numFmtId="2" fontId="0" fillId="0" borderId="32" xfId="0" applyNumberFormat="1" applyFont="1" applyFill="1" applyBorder="1" applyAlignment="1" applyProtection="1">
      <alignment horizontal="left"/>
      <protection locked="0"/>
    </xf>
    <xf numFmtId="2" fontId="0" fillId="47" borderId="32" xfId="0" applyNumberFormat="1" applyFont="1" applyFill="1" applyBorder="1" applyAlignment="1" applyProtection="1">
      <alignment horizontal="left" vertical="top" wrapText="1"/>
      <protection/>
    </xf>
    <xf numFmtId="0" fontId="0" fillId="0" borderId="28" xfId="0" applyNumberFormat="1" applyFont="1" applyFill="1" applyBorder="1" applyAlignment="1" applyProtection="1">
      <alignment horizontal="left" vertical="top" wrapText="1"/>
      <protection/>
    </xf>
    <xf numFmtId="0" fontId="0" fillId="47" borderId="32" xfId="0" applyNumberFormat="1" applyFont="1" applyFill="1" applyBorder="1" applyAlignment="1" applyProtection="1">
      <alignment horizontal="left" vertical="top" wrapText="1"/>
      <protection/>
    </xf>
    <xf numFmtId="0" fontId="0" fillId="47" borderId="28" xfId="0" applyNumberFormat="1" applyFont="1" applyFill="1" applyBorder="1" applyAlignment="1" applyProtection="1">
      <alignment horizontal="left" vertical="top" wrapText="1"/>
      <protection/>
    </xf>
    <xf numFmtId="0" fontId="0" fillId="0" borderId="32" xfId="0" applyNumberFormat="1" applyFont="1" applyFill="1" applyBorder="1" applyAlignment="1" applyProtection="1">
      <alignment horizontal="left"/>
      <protection/>
    </xf>
    <xf numFmtId="0" fontId="0" fillId="0" borderId="10" xfId="0" applyNumberFormat="1" applyFont="1" applyBorder="1" applyAlignment="1" applyProtection="1">
      <alignment horizontal="left"/>
      <protection/>
    </xf>
    <xf numFmtId="0" fontId="0" fillId="35" borderId="10" xfId="0" applyNumberFormat="1" applyFont="1" applyFill="1" applyBorder="1" applyAlignment="1" applyProtection="1">
      <alignment horizontal="left" vertical="top" wrapText="1"/>
      <protection/>
    </xf>
    <xf numFmtId="0" fontId="0" fillId="0" borderId="27" xfId="0" applyNumberFormat="1" applyFont="1" applyFill="1" applyBorder="1" applyAlignment="1" applyProtection="1">
      <alignment horizontal="left" vertical="top" wrapText="1"/>
      <protection/>
    </xf>
    <xf numFmtId="0" fontId="6" fillId="0" borderId="0" xfId="0" applyFont="1" applyFill="1" applyAlignment="1">
      <alignment/>
    </xf>
    <xf numFmtId="0" fontId="0" fillId="0" borderId="0" xfId="0" applyFont="1" applyFill="1" applyAlignment="1">
      <alignment wrapText="1"/>
    </xf>
    <xf numFmtId="0" fontId="4" fillId="0" borderId="0" xfId="60" applyFont="1" applyBorder="1" applyAlignment="1">
      <alignment horizontal="left"/>
      <protection/>
    </xf>
    <xf numFmtId="0" fontId="37" fillId="0" borderId="19" xfId="0" applyFont="1" applyBorder="1" applyAlignment="1" applyProtection="1">
      <alignment horizontal="left" vertical="center" wrapText="1"/>
      <protection/>
    </xf>
    <xf numFmtId="0" fontId="37" fillId="0" borderId="20" xfId="0" applyFont="1" applyBorder="1" applyAlignment="1" applyProtection="1">
      <alignment horizontal="left" vertical="center" wrapText="1"/>
      <protection/>
    </xf>
    <xf numFmtId="0" fontId="37" fillId="0" borderId="78" xfId="0"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0" xfId="0" applyFont="1" applyBorder="1" applyAlignment="1" applyProtection="1">
      <alignment horizontal="left" vertical="center" wrapText="1"/>
      <protection/>
    </xf>
    <xf numFmtId="0" fontId="37" fillId="0" borderId="15" xfId="0" applyFont="1" applyBorder="1" applyAlignment="1" applyProtection="1">
      <alignment horizontal="left" vertical="center" wrapText="1"/>
      <protection/>
    </xf>
    <xf numFmtId="0" fontId="37" fillId="0" borderId="24" xfId="0" applyFont="1" applyBorder="1" applyAlignment="1" applyProtection="1">
      <alignment horizontal="left" vertical="center" wrapText="1"/>
      <protection/>
    </xf>
    <xf numFmtId="0" fontId="37" fillId="0" borderId="25" xfId="0" applyFont="1" applyBorder="1" applyAlignment="1" applyProtection="1">
      <alignment horizontal="left" vertical="center" wrapText="1"/>
      <protection/>
    </xf>
    <xf numFmtId="0" fontId="37" fillId="0" borderId="79" xfId="0" applyFont="1" applyBorder="1" applyAlignment="1" applyProtection="1">
      <alignment horizontal="left" vertical="center" wrapText="1"/>
      <protection/>
    </xf>
    <xf numFmtId="0" fontId="29" fillId="0" borderId="29" xfId="0" applyFont="1" applyFill="1" applyBorder="1" applyAlignment="1" applyProtection="1">
      <alignment horizontal="center" vertical="top" wrapText="1"/>
      <protection/>
    </xf>
    <xf numFmtId="0" fontId="29" fillId="0" borderId="39" xfId="0" applyFont="1" applyFill="1" applyBorder="1" applyAlignment="1" applyProtection="1">
      <alignment horizontal="center" vertical="top" wrapText="1"/>
      <protection/>
    </xf>
    <xf numFmtId="0" fontId="29" fillId="0" borderId="19" xfId="0" applyFont="1" applyFill="1" applyBorder="1" applyAlignment="1" applyProtection="1">
      <alignment horizontal="center"/>
      <protection/>
    </xf>
    <xf numFmtId="0" fontId="29" fillId="0" borderId="78" xfId="0" applyFont="1" applyFill="1" applyBorder="1" applyAlignment="1" applyProtection="1">
      <alignment horizontal="center"/>
      <protection/>
    </xf>
    <xf numFmtId="0" fontId="8" fillId="40" borderId="62" xfId="0" applyFont="1" applyFill="1" applyBorder="1" applyAlignment="1" applyProtection="1">
      <alignment horizontal="center" vertical="center" wrapText="1"/>
      <protection/>
    </xf>
    <xf numFmtId="0" fontId="8" fillId="40" borderId="20" xfId="0" applyFont="1" applyFill="1" applyBorder="1" applyAlignment="1" applyProtection="1">
      <alignment horizontal="center" vertical="center" wrapText="1"/>
      <protection/>
    </xf>
    <xf numFmtId="0" fontId="8" fillId="40" borderId="78" xfId="0" applyFont="1" applyFill="1" applyBorder="1" applyAlignment="1" applyProtection="1">
      <alignment horizontal="center" vertical="center" wrapText="1"/>
      <protection/>
    </xf>
    <xf numFmtId="0" fontId="0" fillId="42" borderId="25" xfId="0" applyFont="1" applyFill="1" applyBorder="1" applyAlignment="1" applyProtection="1">
      <alignment horizontal="left" vertical="center" wrapText="1"/>
      <protection/>
    </xf>
    <xf numFmtId="0" fontId="0" fillId="0" borderId="62" xfId="0" applyFont="1" applyFill="1" applyBorder="1" applyAlignment="1" applyProtection="1">
      <alignment horizontal="center"/>
      <protection/>
    </xf>
    <xf numFmtId="0" fontId="0" fillId="0" borderId="20" xfId="0" applyFill="1" applyBorder="1" applyAlignment="1" applyProtection="1">
      <alignment horizontal="center"/>
      <protection/>
    </xf>
    <xf numFmtId="0" fontId="0" fillId="0" borderId="21" xfId="0" applyFill="1" applyBorder="1" applyAlignment="1" applyProtection="1">
      <alignment horizontal="center"/>
      <protection/>
    </xf>
    <xf numFmtId="0" fontId="0" fillId="0" borderId="78" xfId="0" applyFill="1" applyBorder="1" applyAlignment="1" applyProtection="1">
      <alignment horizontal="center"/>
      <protection/>
    </xf>
    <xf numFmtId="0" fontId="29" fillId="0" borderId="31" xfId="0" applyFont="1" applyFill="1" applyBorder="1" applyAlignment="1" applyProtection="1">
      <alignment horizontal="center" vertical="top" wrapText="1"/>
      <protection/>
    </xf>
    <xf numFmtId="0" fontId="29" fillId="0" borderId="10" xfId="0" applyFont="1" applyFill="1" applyBorder="1" applyAlignment="1" applyProtection="1">
      <alignment horizontal="center" vertical="top" wrapText="1"/>
      <protection/>
    </xf>
    <xf numFmtId="0" fontId="29" fillId="0" borderId="36" xfId="0" applyFont="1" applyFill="1" applyBorder="1" applyAlignment="1" applyProtection="1">
      <alignment horizontal="center" vertical="top" wrapText="1"/>
      <protection/>
    </xf>
    <xf numFmtId="0" fontId="8" fillId="0" borderId="20" xfId="0" applyFont="1" applyFill="1" applyBorder="1" applyAlignment="1" applyProtection="1">
      <alignment horizontal="center" vertical="center" wrapText="1"/>
      <protection/>
    </xf>
    <xf numFmtId="0" fontId="8" fillId="0" borderId="21" xfId="0" applyFont="1" applyFill="1" applyBorder="1" applyAlignment="1" applyProtection="1">
      <alignment horizontal="center" vertical="center" wrapText="1"/>
      <protection/>
    </xf>
    <xf numFmtId="0" fontId="0" fillId="36" borderId="12" xfId="0" applyFont="1" applyFill="1" applyBorder="1" applyAlignment="1" applyProtection="1">
      <alignment horizontal="center" vertical="top" wrapText="1"/>
      <protection/>
    </xf>
    <xf numFmtId="0" fontId="0" fillId="36" borderId="11" xfId="0" applyFont="1" applyFill="1" applyBorder="1" applyAlignment="1" applyProtection="1">
      <alignment horizontal="center" vertical="top" wrapText="1"/>
      <protection/>
    </xf>
    <xf numFmtId="0" fontId="0" fillId="36" borderId="13" xfId="0" applyFont="1" applyFill="1" applyBorder="1" applyAlignment="1" applyProtection="1">
      <alignment horizontal="center" vertical="top" wrapText="1"/>
      <protection/>
    </xf>
    <xf numFmtId="0" fontId="0" fillId="36" borderId="14" xfId="0" applyFont="1" applyFill="1" applyBorder="1" applyAlignment="1" applyProtection="1">
      <alignment horizontal="center" vertical="top" wrapText="1"/>
      <protection/>
    </xf>
    <xf numFmtId="0" fontId="8" fillId="0" borderId="0" xfId="0" applyFont="1" applyFill="1" applyBorder="1" applyAlignment="1" applyProtection="1">
      <alignment horizontal="center" vertical="top" wrapText="1"/>
      <protection/>
    </xf>
    <xf numFmtId="0" fontId="6" fillId="0" borderId="0" xfId="0" applyFont="1" applyFill="1" applyBorder="1" applyAlignment="1" applyProtection="1">
      <alignment horizontal="center" vertical="top" wrapText="1"/>
      <protection/>
    </xf>
    <xf numFmtId="0" fontId="6" fillId="36" borderId="80" xfId="67" applyFont="1" applyFill="1" applyBorder="1" applyAlignment="1" applyProtection="1">
      <alignment horizontal="center" vertical="center" wrapText="1"/>
      <protection/>
    </xf>
    <xf numFmtId="0" fontId="6" fillId="36" borderId="25" xfId="67" applyFont="1" applyFill="1" applyBorder="1" applyAlignment="1" applyProtection="1">
      <alignment horizontal="center" vertical="center" wrapText="1"/>
      <protection/>
    </xf>
    <xf numFmtId="0" fontId="6" fillId="42" borderId="40" xfId="0" applyFont="1" applyFill="1" applyBorder="1" applyAlignment="1" applyProtection="1">
      <alignment horizontal="left" vertical="center" wrapText="1"/>
      <protection/>
    </xf>
    <xf numFmtId="0" fontId="6" fillId="42" borderId="64" xfId="0" applyFont="1" applyFill="1" applyBorder="1" applyAlignment="1" applyProtection="1">
      <alignment horizontal="left" vertical="center" wrapText="1"/>
      <protection/>
    </xf>
    <xf numFmtId="0" fontId="6" fillId="36" borderId="61" xfId="0" applyFont="1" applyFill="1" applyBorder="1" applyAlignment="1" applyProtection="1">
      <alignment horizontal="center" vertical="top" wrapText="1"/>
      <protection/>
    </xf>
    <xf numFmtId="0" fontId="6" fillId="36" borderId="81" xfId="0" applyFont="1" applyFill="1" applyBorder="1" applyAlignment="1" applyProtection="1">
      <alignment horizontal="center" vertical="top" wrapText="1"/>
      <protection/>
    </xf>
    <xf numFmtId="16" fontId="29" fillId="0" borderId="10" xfId="0" applyNumberFormat="1" applyFont="1" applyFill="1" applyBorder="1" applyAlignment="1" applyProtection="1">
      <alignment horizontal="center" vertical="top" wrapText="1"/>
      <protection/>
    </xf>
    <xf numFmtId="0" fontId="29" fillId="0" borderId="12" xfId="0" applyFont="1" applyFill="1" applyBorder="1" applyAlignment="1" applyProtection="1">
      <alignment horizontal="center" vertical="top" wrapText="1"/>
      <protection/>
    </xf>
    <xf numFmtId="0" fontId="29" fillId="0" borderId="82" xfId="0" applyFont="1" applyFill="1" applyBorder="1" applyAlignment="1" applyProtection="1">
      <alignment horizontal="center" vertical="top" wrapText="1"/>
      <protection/>
    </xf>
    <xf numFmtId="0" fontId="29" fillId="0" borderId="80" xfId="0" applyFont="1" applyFill="1" applyBorder="1" applyAlignment="1" applyProtection="1">
      <alignment horizontal="center" vertical="top" wrapText="1"/>
      <protection/>
    </xf>
    <xf numFmtId="0" fontId="29" fillId="0" borderId="26" xfId="0" applyFont="1" applyFill="1" applyBorder="1" applyAlignment="1" applyProtection="1">
      <alignment horizontal="center" vertical="top" wrapText="1"/>
      <protection/>
    </xf>
    <xf numFmtId="0" fontId="19" fillId="36" borderId="67" xfId="0" applyFont="1" applyFill="1" applyBorder="1" applyAlignment="1" applyProtection="1">
      <alignment horizontal="center" vertical="center" wrapText="1"/>
      <protection/>
    </xf>
    <xf numFmtId="0" fontId="19" fillId="36" borderId="83" xfId="0" applyFont="1" applyFill="1" applyBorder="1" applyAlignment="1" applyProtection="1">
      <alignment horizontal="center" vertical="center" wrapText="1"/>
      <protection/>
    </xf>
    <xf numFmtId="0" fontId="6" fillId="36" borderId="42" xfId="67" applyFont="1" applyFill="1" applyBorder="1" applyAlignment="1" applyProtection="1">
      <alignment horizontal="center" vertical="center" wrapText="1"/>
      <protection/>
    </xf>
    <xf numFmtId="0" fontId="6" fillId="36" borderId="17" xfId="67" applyFont="1" applyFill="1" applyBorder="1" applyAlignment="1" applyProtection="1">
      <alignment horizontal="center" vertical="center" wrapText="1"/>
      <protection/>
    </xf>
    <xf numFmtId="0" fontId="6" fillId="36" borderId="18" xfId="67" applyFont="1" applyFill="1" applyBorder="1" applyAlignment="1" applyProtection="1">
      <alignment horizontal="center" vertical="center" wrapText="1"/>
      <protection/>
    </xf>
    <xf numFmtId="0" fontId="6" fillId="36" borderId="42" xfId="0" applyFont="1" applyFill="1" applyBorder="1" applyAlignment="1" applyProtection="1">
      <alignment horizontal="center" vertical="center" wrapText="1"/>
      <protection/>
    </xf>
    <xf numFmtId="0" fontId="6" fillId="36" borderId="17" xfId="0" applyFont="1" applyFill="1" applyBorder="1" applyAlignment="1" applyProtection="1">
      <alignment horizontal="center" vertical="center" wrapText="1"/>
      <protection/>
    </xf>
    <xf numFmtId="0" fontId="6" fillId="36" borderId="84" xfId="0" applyFont="1" applyFill="1" applyBorder="1" applyAlignment="1" applyProtection="1">
      <alignment horizontal="center" vertical="center" wrapText="1"/>
      <protection/>
    </xf>
    <xf numFmtId="0" fontId="0" fillId="36" borderId="67" xfId="0" applyFont="1" applyFill="1" applyBorder="1" applyAlignment="1" applyProtection="1">
      <alignment horizontal="center" vertical="center" wrapText="1"/>
      <protection/>
    </xf>
    <xf numFmtId="0" fontId="0" fillId="36" borderId="83" xfId="0" applyFont="1" applyFill="1" applyBorder="1" applyAlignment="1" applyProtection="1">
      <alignment horizontal="center" vertical="center" wrapText="1"/>
      <protection/>
    </xf>
    <xf numFmtId="0" fontId="29" fillId="0" borderId="13" xfId="0" applyFont="1" applyFill="1" applyBorder="1" applyAlignment="1" applyProtection="1">
      <alignment horizontal="center" vertical="top" wrapText="1"/>
      <protection/>
    </xf>
    <xf numFmtId="0" fontId="29" fillId="0" borderId="79" xfId="0" applyFont="1" applyFill="1" applyBorder="1" applyAlignment="1" applyProtection="1">
      <alignment horizontal="center" vertical="top" wrapText="1"/>
      <protection/>
    </xf>
    <xf numFmtId="0" fontId="8" fillId="39" borderId="62" xfId="0" applyFont="1" applyFill="1" applyBorder="1" applyAlignment="1" applyProtection="1">
      <alignment horizontal="center" vertical="center" wrapText="1"/>
      <protection/>
    </xf>
    <xf numFmtId="0" fontId="8" fillId="39" borderId="20" xfId="0" applyFont="1" applyFill="1" applyBorder="1" applyAlignment="1" applyProtection="1">
      <alignment horizontal="center" vertical="center" wrapText="1"/>
      <protection/>
    </xf>
    <xf numFmtId="0" fontId="8" fillId="39" borderId="78" xfId="0" applyFont="1" applyFill="1" applyBorder="1" applyAlignment="1" applyProtection="1">
      <alignment horizontal="center" vertical="center" wrapText="1"/>
      <protection/>
    </xf>
    <xf numFmtId="0" fontId="0" fillId="0" borderId="19" xfId="0" applyFont="1" applyFill="1" applyBorder="1" applyAlignment="1" applyProtection="1">
      <alignment horizontal="center"/>
      <protection/>
    </xf>
    <xf numFmtId="0" fontId="6" fillId="36" borderId="14" xfId="67" applyFont="1" applyFill="1" applyBorder="1" applyAlignment="1" applyProtection="1">
      <alignment horizontal="center" vertical="center" wrapText="1"/>
      <protection/>
    </xf>
    <xf numFmtId="0" fontId="6" fillId="36" borderId="0" xfId="67" applyFont="1" applyFill="1" applyBorder="1" applyAlignment="1" applyProtection="1">
      <alignment horizontal="center" vertical="center" wrapText="1"/>
      <protection/>
    </xf>
    <xf numFmtId="0" fontId="6" fillId="36" borderId="23" xfId="67" applyFont="1" applyFill="1" applyBorder="1" applyAlignment="1" applyProtection="1">
      <alignment horizontal="center" vertical="center" wrapText="1"/>
      <protection/>
    </xf>
    <xf numFmtId="0" fontId="0" fillId="0" borderId="55" xfId="0" applyFont="1" applyFill="1" applyBorder="1" applyAlignment="1" applyProtection="1">
      <alignment horizontal="center" vertical="top" wrapText="1"/>
      <protection/>
    </xf>
    <xf numFmtId="0" fontId="0" fillId="0" borderId="52" xfId="0" applyFont="1" applyFill="1" applyBorder="1" applyAlignment="1" applyProtection="1">
      <alignment horizontal="center" vertical="top" wrapText="1"/>
      <protection/>
    </xf>
    <xf numFmtId="0" fontId="0" fillId="0" borderId="72" xfId="0" applyFont="1" applyFill="1" applyBorder="1" applyAlignment="1" applyProtection="1">
      <alignment horizontal="center" vertical="top" wrapText="1"/>
      <protection/>
    </xf>
    <xf numFmtId="0" fontId="19" fillId="36" borderId="61" xfId="0" applyFont="1" applyFill="1" applyBorder="1" applyAlignment="1" applyProtection="1">
      <alignment horizontal="center" vertical="center" wrapText="1"/>
      <protection/>
    </xf>
    <xf numFmtId="0" fontId="0" fillId="36" borderId="28" xfId="0" applyFill="1" applyBorder="1" applyAlignment="1" applyProtection="1">
      <alignment horizontal="center" vertical="center" wrapText="1"/>
      <protection/>
    </xf>
    <xf numFmtId="0" fontId="0" fillId="36" borderId="74" xfId="0" applyFont="1" applyFill="1" applyBorder="1" applyAlignment="1" applyProtection="1">
      <alignment horizontal="center" vertical="center" wrapText="1"/>
      <protection/>
    </xf>
    <xf numFmtId="0" fontId="19" fillId="43" borderId="67" xfId="0" applyFont="1" applyFill="1" applyBorder="1" applyAlignment="1" applyProtection="1">
      <alignment horizontal="center" vertical="center" wrapText="1"/>
      <protection/>
    </xf>
    <xf numFmtId="0" fontId="19" fillId="43" borderId="83" xfId="0" applyFont="1" applyFill="1" applyBorder="1" applyAlignment="1" applyProtection="1">
      <alignment horizontal="center" vertical="center" wrapText="1"/>
      <protection/>
    </xf>
    <xf numFmtId="2" fontId="19" fillId="43" borderId="67" xfId="0" applyNumberFormat="1" applyFont="1" applyFill="1" applyBorder="1" applyAlignment="1" applyProtection="1">
      <alignment horizontal="center" vertical="center" wrapText="1"/>
      <protection/>
    </xf>
    <xf numFmtId="2" fontId="19" fillId="43" borderId="83" xfId="0" applyNumberFormat="1" applyFont="1" applyFill="1" applyBorder="1" applyAlignment="1" applyProtection="1">
      <alignment horizontal="center" vertical="center" wrapText="1"/>
      <protection/>
    </xf>
    <xf numFmtId="0" fontId="0" fillId="44" borderId="67" xfId="0" applyFont="1" applyFill="1" applyBorder="1" applyAlignment="1" applyProtection="1">
      <alignment horizontal="center" vertical="center" wrapText="1"/>
      <protection/>
    </xf>
    <xf numFmtId="0" fontId="24" fillId="44" borderId="83" xfId="0" applyFont="1" applyFill="1" applyBorder="1" applyAlignment="1" applyProtection="1">
      <alignment horizontal="center" vertical="center" wrapText="1"/>
      <protection/>
    </xf>
    <xf numFmtId="0" fontId="0" fillId="36" borderId="73" xfId="0" applyFont="1" applyFill="1" applyBorder="1" applyAlignment="1" applyProtection="1">
      <alignment horizontal="center" vertical="center" wrapText="1"/>
      <protection/>
    </xf>
    <xf numFmtId="0" fontId="0" fillId="36" borderId="85" xfId="0" applyFont="1" applyFill="1" applyBorder="1" applyAlignment="1" applyProtection="1">
      <alignment horizontal="center" vertical="center" wrapText="1"/>
      <protection/>
    </xf>
    <xf numFmtId="0" fontId="0" fillId="0" borderId="72" xfId="0" applyBorder="1" applyAlignment="1" applyProtection="1">
      <alignment/>
      <protection/>
    </xf>
    <xf numFmtId="0" fontId="0" fillId="36" borderId="56" xfId="0" applyFont="1" applyFill="1" applyBorder="1" applyAlignment="1" applyProtection="1">
      <alignment horizontal="center" vertical="center" wrapText="1"/>
      <protection/>
    </xf>
    <xf numFmtId="0" fontId="0" fillId="0" borderId="86" xfId="0" applyBorder="1" applyAlignment="1" applyProtection="1">
      <alignment horizontal="center" vertical="center" wrapText="1"/>
      <protection/>
    </xf>
    <xf numFmtId="0" fontId="0" fillId="36" borderId="61" xfId="0" applyFill="1" applyBorder="1" applyAlignment="1" applyProtection="1">
      <alignment horizontal="center" vertical="center" wrapText="1"/>
      <protection/>
    </xf>
    <xf numFmtId="209" fontId="6" fillId="36" borderId="85" xfId="0" applyNumberFormat="1" applyFont="1" applyFill="1" applyBorder="1" applyAlignment="1" applyProtection="1">
      <alignment horizontal="center" vertical="center" wrapText="1"/>
      <protection/>
    </xf>
    <xf numFmtId="0" fontId="0" fillId="0" borderId="52" xfId="0" applyBorder="1" applyAlignment="1" applyProtection="1">
      <alignment/>
      <protection/>
    </xf>
    <xf numFmtId="0" fontId="0" fillId="0" borderId="50" xfId="0" applyBorder="1" applyAlignment="1" applyProtection="1">
      <alignment/>
      <protection/>
    </xf>
    <xf numFmtId="0" fontId="0" fillId="36" borderId="62" xfId="0" applyFill="1" applyBorder="1" applyAlignment="1" applyProtection="1">
      <alignment horizontal="center" vertical="center" wrapText="1"/>
      <protection/>
    </xf>
    <xf numFmtId="0" fontId="0" fillId="36" borderId="20" xfId="0" applyFill="1" applyBorder="1" applyAlignment="1" applyProtection="1">
      <alignment horizontal="center" vertical="center" wrapText="1"/>
      <protection/>
    </xf>
    <xf numFmtId="0" fontId="0" fillId="36" borderId="78" xfId="0" applyFill="1" applyBorder="1" applyAlignment="1" applyProtection="1">
      <alignment horizontal="center" vertical="center" wrapText="1"/>
      <protection/>
    </xf>
    <xf numFmtId="0" fontId="0" fillId="36" borderId="80" xfId="0" applyFill="1" applyBorder="1" applyAlignment="1" applyProtection="1">
      <alignment horizontal="center" vertical="center" wrapText="1"/>
      <protection/>
    </xf>
    <xf numFmtId="0" fontId="0" fillId="36" borderId="25" xfId="0" applyFill="1" applyBorder="1" applyAlignment="1" applyProtection="1">
      <alignment horizontal="center" vertical="center" wrapText="1"/>
      <protection/>
    </xf>
    <xf numFmtId="0" fontId="0" fillId="36" borderId="79" xfId="0" applyFill="1" applyBorder="1" applyAlignment="1" applyProtection="1">
      <alignment horizontal="center" vertical="center" wrapText="1"/>
      <protection/>
    </xf>
    <xf numFmtId="0" fontId="6" fillId="36" borderId="85" xfId="0" applyFont="1" applyFill="1" applyBorder="1" applyAlignment="1" applyProtection="1">
      <alignment horizontal="center" vertical="center" wrapText="1"/>
      <protection/>
    </xf>
    <xf numFmtId="0" fontId="6" fillId="36" borderId="52" xfId="0" applyFont="1" applyFill="1" applyBorder="1" applyAlignment="1" applyProtection="1">
      <alignment horizontal="center" vertical="center" wrapText="1"/>
      <protection/>
    </xf>
    <xf numFmtId="0" fontId="6" fillId="36" borderId="50" xfId="0" applyFont="1" applyFill="1" applyBorder="1" applyAlignment="1" applyProtection="1">
      <alignment horizontal="center" vertical="center" wrapText="1"/>
      <protection/>
    </xf>
    <xf numFmtId="0" fontId="0" fillId="0" borderId="29" xfId="60" applyFont="1" applyBorder="1" applyAlignment="1">
      <alignment horizontal="center" wrapText="1"/>
      <protection/>
    </xf>
    <xf numFmtId="0" fontId="0" fillId="0" borderId="30" xfId="60" applyFont="1" applyBorder="1" applyAlignment="1">
      <alignment horizontal="center" wrapText="1"/>
      <protection/>
    </xf>
    <xf numFmtId="0" fontId="0" fillId="0" borderId="31" xfId="60" applyFont="1" applyBorder="1" applyAlignment="1">
      <alignment horizontal="center" wrapText="1"/>
      <protection/>
    </xf>
    <xf numFmtId="0" fontId="47" fillId="0" borderId="12" xfId="60" applyFont="1" applyBorder="1" applyAlignment="1">
      <alignment horizontal="center"/>
      <protection/>
    </xf>
    <xf numFmtId="0" fontId="47" fillId="0" borderId="11" xfId="60" applyFont="1" applyBorder="1" applyAlignment="1">
      <alignment horizontal="center"/>
      <protection/>
    </xf>
    <xf numFmtId="0" fontId="47" fillId="0" borderId="13" xfId="60" applyFont="1" applyBorder="1" applyAlignment="1">
      <alignment horizontal="center"/>
      <protection/>
    </xf>
    <xf numFmtId="0" fontId="47" fillId="0" borderId="14" xfId="60" applyFont="1" applyBorder="1" applyAlignment="1">
      <alignment horizontal="center"/>
      <protection/>
    </xf>
    <xf numFmtId="0" fontId="47" fillId="0" borderId="0" xfId="60" applyFont="1" applyBorder="1" applyAlignment="1">
      <alignment horizontal="center"/>
      <protection/>
    </xf>
    <xf numFmtId="0" fontId="47" fillId="0" borderId="15" xfId="60" applyFont="1" applyBorder="1" applyAlignment="1">
      <alignment horizontal="center"/>
      <protection/>
    </xf>
    <xf numFmtId="0" fontId="47" fillId="0" borderId="16" xfId="60" applyFont="1" applyBorder="1" applyAlignment="1">
      <alignment horizontal="center"/>
      <protection/>
    </xf>
    <xf numFmtId="0" fontId="47" fillId="0" borderId="17" xfId="60" applyFont="1" applyBorder="1" applyAlignment="1">
      <alignment horizontal="center"/>
      <protection/>
    </xf>
    <xf numFmtId="0" fontId="47" fillId="0" borderId="18" xfId="60" applyFont="1" applyBorder="1" applyAlignment="1">
      <alignment horizontal="center"/>
      <protection/>
    </xf>
    <xf numFmtId="0" fontId="9" fillId="0" borderId="30" xfId="60" applyBorder="1" applyAlignment="1">
      <alignment wrapText="1"/>
      <protection/>
    </xf>
    <xf numFmtId="0" fontId="9" fillId="0" borderId="31" xfId="60" applyBorder="1" applyAlignment="1">
      <alignment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ed"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Populating functions1" xfId="60"/>
    <cellStyle name="Normal_Reach_exp_v05- Nam181108" xfId="61"/>
    <cellStyle name="Note" xfId="62"/>
    <cellStyle name="Output" xfId="63"/>
    <cellStyle name="Percent" xfId="64"/>
    <cellStyle name="Standaard 2" xfId="65"/>
    <cellStyle name="Standaard 3" xfId="66"/>
    <cellStyle name="Standaard 3 2" xfId="67"/>
    <cellStyle name="Standaard 4" xfId="68"/>
    <cellStyle name="Standaard 5" xfId="69"/>
    <cellStyle name="Title" xfId="70"/>
    <cellStyle name="Total" xfId="71"/>
    <cellStyle name="Warning Text" xfId="72"/>
  </cellStyles>
  <dxfs count="15">
    <dxf>
      <font>
        <b val="0"/>
        <i val="0"/>
      </font>
      <fill>
        <patternFill>
          <bgColor rgb="FFFFFF00"/>
        </patternFill>
      </fill>
    </dxf>
    <dxf/>
    <dxf/>
    <dxf/>
    <dxf/>
    <dxf/>
    <dxf>
      <font>
        <color rgb="FF9C0006"/>
      </font>
      <fill>
        <patternFill>
          <bgColor rgb="FFFFC7CE"/>
        </patternFill>
      </fill>
    </dxf>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fill>
        <patternFill>
          <bgColor theme="5" tint="0.7999799847602844"/>
        </patternFill>
      </fill>
    </dxf>
    <dxf>
      <font>
        <color rgb="FFFF0000"/>
      </font>
      <fill>
        <patternFill>
          <bgColor theme="5" tint="0.5999600291252136"/>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8</xdr:row>
      <xdr:rowOff>57150</xdr:rowOff>
    </xdr:from>
    <xdr:to>
      <xdr:col>5</xdr:col>
      <xdr:colOff>400050</xdr:colOff>
      <xdr:row>10</xdr:row>
      <xdr:rowOff>180975</xdr:rowOff>
    </xdr:to>
    <xdr:sp>
      <xdr:nvSpPr>
        <xdr:cNvPr id="1" name="Down Arrow 1"/>
        <xdr:cNvSpPr>
          <a:spLocks/>
        </xdr:cNvSpPr>
      </xdr:nvSpPr>
      <xdr:spPr>
        <a:xfrm>
          <a:off x="2838450" y="1524000"/>
          <a:ext cx="171450" cy="485775"/>
        </a:xfrm>
        <a:prstGeom prst="downArrow">
          <a:avLst>
            <a:gd name="adj" fmla="val 33333"/>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5</xdr:col>
      <xdr:colOff>38100</xdr:colOff>
      <xdr:row>5</xdr:row>
      <xdr:rowOff>123825</xdr:rowOff>
    </xdr:from>
    <xdr:to>
      <xdr:col>5</xdr:col>
      <xdr:colOff>561975</xdr:colOff>
      <xdr:row>5</xdr:row>
      <xdr:rowOff>123825</xdr:rowOff>
    </xdr:to>
    <xdr:sp>
      <xdr:nvSpPr>
        <xdr:cNvPr id="2" name="Straight Arrow Connector 2"/>
        <xdr:cNvSpPr>
          <a:spLocks/>
        </xdr:cNvSpPr>
      </xdr:nvSpPr>
      <xdr:spPr>
        <a:xfrm>
          <a:off x="2647950" y="1047750"/>
          <a:ext cx="523875"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7</xdr:row>
      <xdr:rowOff>76200</xdr:rowOff>
    </xdr:from>
    <xdr:to>
      <xdr:col>5</xdr:col>
      <xdr:colOff>561975</xdr:colOff>
      <xdr:row>7</xdr:row>
      <xdr:rowOff>76200</xdr:rowOff>
    </xdr:to>
    <xdr:sp>
      <xdr:nvSpPr>
        <xdr:cNvPr id="3" name="Straight Arrow Connector 3"/>
        <xdr:cNvSpPr>
          <a:spLocks/>
        </xdr:cNvSpPr>
      </xdr:nvSpPr>
      <xdr:spPr>
        <a:xfrm>
          <a:off x="2647950" y="1362075"/>
          <a:ext cx="523875"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57150</xdr:colOff>
      <xdr:row>6</xdr:row>
      <xdr:rowOff>95250</xdr:rowOff>
    </xdr:from>
    <xdr:to>
      <xdr:col>5</xdr:col>
      <xdr:colOff>571500</xdr:colOff>
      <xdr:row>6</xdr:row>
      <xdr:rowOff>95250</xdr:rowOff>
    </xdr:to>
    <xdr:sp>
      <xdr:nvSpPr>
        <xdr:cNvPr id="4" name="Straight Arrow Connector 4"/>
        <xdr:cNvSpPr>
          <a:spLocks/>
        </xdr:cNvSpPr>
      </xdr:nvSpPr>
      <xdr:spPr>
        <a:xfrm>
          <a:off x="2667000" y="1200150"/>
          <a:ext cx="514350"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180975</xdr:colOff>
      <xdr:row>13</xdr:row>
      <xdr:rowOff>9525</xdr:rowOff>
    </xdr:from>
    <xdr:to>
      <xdr:col>6</xdr:col>
      <xdr:colOff>581025</xdr:colOff>
      <xdr:row>13</xdr:row>
      <xdr:rowOff>114300</xdr:rowOff>
    </xdr:to>
    <xdr:sp>
      <xdr:nvSpPr>
        <xdr:cNvPr id="1" name="Right Arrow 1"/>
        <xdr:cNvSpPr>
          <a:spLocks/>
        </xdr:cNvSpPr>
      </xdr:nvSpPr>
      <xdr:spPr>
        <a:xfrm>
          <a:off x="3562350" y="2381250"/>
          <a:ext cx="400050" cy="104775"/>
        </a:xfrm>
        <a:prstGeom prst="rightArrow">
          <a:avLst>
            <a:gd name="adj" fmla="val 35662"/>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4</xdr:col>
      <xdr:colOff>152400</xdr:colOff>
      <xdr:row>4</xdr:row>
      <xdr:rowOff>47625</xdr:rowOff>
    </xdr:from>
    <xdr:to>
      <xdr:col>4</xdr:col>
      <xdr:colOff>571500</xdr:colOff>
      <xdr:row>4</xdr:row>
      <xdr:rowOff>180975</xdr:rowOff>
    </xdr:to>
    <xdr:sp>
      <xdr:nvSpPr>
        <xdr:cNvPr id="2" name="Right Arrow 2"/>
        <xdr:cNvSpPr>
          <a:spLocks/>
        </xdr:cNvSpPr>
      </xdr:nvSpPr>
      <xdr:spPr>
        <a:xfrm>
          <a:off x="2190750" y="790575"/>
          <a:ext cx="419100" cy="133350"/>
        </a:xfrm>
        <a:prstGeom prst="rightArrow">
          <a:avLst>
            <a:gd name="adj" fmla="val 32736"/>
          </a:avLst>
        </a:prstGeom>
        <a:solidFill>
          <a:srgbClr val="00FF00"/>
        </a:solidFill>
        <a:ln w="25400" cmpd="sng">
          <a:solidFill>
            <a:srgbClr val="008000"/>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3</xdr:col>
      <xdr:colOff>285750</xdr:colOff>
      <xdr:row>6</xdr:row>
      <xdr:rowOff>123825</xdr:rowOff>
    </xdr:from>
    <xdr:to>
      <xdr:col>3</xdr:col>
      <xdr:colOff>457200</xdr:colOff>
      <xdr:row>8</xdr:row>
      <xdr:rowOff>104775</xdr:rowOff>
    </xdr:to>
    <xdr:sp>
      <xdr:nvSpPr>
        <xdr:cNvPr id="3" name="Down Arrow 3"/>
        <xdr:cNvSpPr>
          <a:spLocks/>
        </xdr:cNvSpPr>
      </xdr:nvSpPr>
      <xdr:spPr>
        <a:xfrm>
          <a:off x="1600200" y="1228725"/>
          <a:ext cx="171450" cy="342900"/>
        </a:xfrm>
        <a:prstGeom prst="downArrow">
          <a:avLst>
            <a:gd name="adj" fmla="val 26111"/>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66675</xdr:colOff>
      <xdr:row>24</xdr:row>
      <xdr:rowOff>95250</xdr:rowOff>
    </xdr:from>
    <xdr:to>
      <xdr:col>6</xdr:col>
      <xdr:colOff>600075</xdr:colOff>
      <xdr:row>24</xdr:row>
      <xdr:rowOff>104775</xdr:rowOff>
    </xdr:to>
    <xdr:sp>
      <xdr:nvSpPr>
        <xdr:cNvPr id="4" name="Straight Arrow Connector 4"/>
        <xdr:cNvSpPr>
          <a:spLocks/>
        </xdr:cNvSpPr>
      </xdr:nvSpPr>
      <xdr:spPr>
        <a:xfrm>
          <a:off x="3448050" y="4457700"/>
          <a:ext cx="533400" cy="1905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28</xdr:row>
      <xdr:rowOff>95250</xdr:rowOff>
    </xdr:from>
    <xdr:to>
      <xdr:col>6</xdr:col>
      <xdr:colOff>609600</xdr:colOff>
      <xdr:row>28</xdr:row>
      <xdr:rowOff>95250</xdr:rowOff>
    </xdr:to>
    <xdr:sp>
      <xdr:nvSpPr>
        <xdr:cNvPr id="5" name="Straight Arrow Connector 5"/>
        <xdr:cNvSpPr>
          <a:spLocks/>
        </xdr:cNvSpPr>
      </xdr:nvSpPr>
      <xdr:spPr>
        <a:xfrm>
          <a:off x="3457575" y="5181600"/>
          <a:ext cx="542925" cy="0"/>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66675</xdr:colOff>
      <xdr:row>26</xdr:row>
      <xdr:rowOff>76200</xdr:rowOff>
    </xdr:from>
    <xdr:to>
      <xdr:col>6</xdr:col>
      <xdr:colOff>619125</xdr:colOff>
      <xdr:row>26</xdr:row>
      <xdr:rowOff>85725</xdr:rowOff>
    </xdr:to>
    <xdr:sp>
      <xdr:nvSpPr>
        <xdr:cNvPr id="6" name="Straight Arrow Connector 6"/>
        <xdr:cNvSpPr>
          <a:spLocks/>
        </xdr:cNvSpPr>
      </xdr:nvSpPr>
      <xdr:spPr>
        <a:xfrm>
          <a:off x="3448050" y="4800600"/>
          <a:ext cx="552450" cy="9525"/>
        </a:xfrm>
        <a:prstGeom prst="straightConnector1">
          <a:avLst/>
        </a:prstGeom>
        <a:noFill/>
        <a:ln w="9525" cmpd="sng">
          <a:solidFill>
            <a:srgbClr val="000000"/>
          </a:solidFill>
          <a:prstDash val="dash"/>
          <a:headEnd type="arrow"/>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104775</xdr:colOff>
      <xdr:row>25</xdr:row>
      <xdr:rowOff>76200</xdr:rowOff>
    </xdr:from>
    <xdr:to>
      <xdr:col>10</xdr:col>
      <xdr:colOff>590550</xdr:colOff>
      <xdr:row>25</xdr:row>
      <xdr:rowOff>161925</xdr:rowOff>
    </xdr:to>
    <xdr:sp>
      <xdr:nvSpPr>
        <xdr:cNvPr id="7" name="Left Arrow 7"/>
        <xdr:cNvSpPr>
          <a:spLocks/>
        </xdr:cNvSpPr>
      </xdr:nvSpPr>
      <xdr:spPr>
        <a:xfrm>
          <a:off x="6115050" y="4619625"/>
          <a:ext cx="485775" cy="95250"/>
        </a:xfrm>
        <a:prstGeom prst="leftArrow">
          <a:avLst>
            <a:gd name="adj" fmla="val -39976"/>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6</xdr:col>
      <xdr:colOff>257175</xdr:colOff>
      <xdr:row>29</xdr:row>
      <xdr:rowOff>57150</xdr:rowOff>
    </xdr:from>
    <xdr:to>
      <xdr:col>6</xdr:col>
      <xdr:colOff>409575</xdr:colOff>
      <xdr:row>31</xdr:row>
      <xdr:rowOff>47625</xdr:rowOff>
    </xdr:to>
    <xdr:sp>
      <xdr:nvSpPr>
        <xdr:cNvPr id="8" name="Down Arrow 8"/>
        <xdr:cNvSpPr>
          <a:spLocks/>
        </xdr:cNvSpPr>
      </xdr:nvSpPr>
      <xdr:spPr>
        <a:xfrm>
          <a:off x="3638550" y="5324475"/>
          <a:ext cx="152400" cy="352425"/>
        </a:xfrm>
        <a:prstGeom prst="downArrow">
          <a:avLst>
            <a:gd name="adj" fmla="val 29319"/>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9</xdr:col>
      <xdr:colOff>114300</xdr:colOff>
      <xdr:row>13</xdr:row>
      <xdr:rowOff>28575</xdr:rowOff>
    </xdr:from>
    <xdr:to>
      <xdr:col>9</xdr:col>
      <xdr:colOff>619125</xdr:colOff>
      <xdr:row>13</xdr:row>
      <xdr:rowOff>133350</xdr:rowOff>
    </xdr:to>
    <xdr:sp>
      <xdr:nvSpPr>
        <xdr:cNvPr id="9" name="Left-Right Arrow 9"/>
        <xdr:cNvSpPr>
          <a:spLocks/>
        </xdr:cNvSpPr>
      </xdr:nvSpPr>
      <xdr:spPr>
        <a:xfrm>
          <a:off x="5410200" y="2400300"/>
          <a:ext cx="504825" cy="104775"/>
        </a:xfrm>
        <a:prstGeom prst="leftRightArrow">
          <a:avLst>
            <a:gd name="adj" fmla="val -39129"/>
          </a:avLst>
        </a:prstGeom>
        <a:solidFill>
          <a:srgbClr val="00FFFF"/>
        </a:solidFill>
        <a:ln w="25400" cmpd="sng">
          <a:solidFill>
            <a:srgbClr val="0033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285750</xdr:colOff>
      <xdr:row>13</xdr:row>
      <xdr:rowOff>171450</xdr:rowOff>
    </xdr:from>
    <xdr:to>
      <xdr:col>9</xdr:col>
      <xdr:colOff>428625</xdr:colOff>
      <xdr:row>15</xdr:row>
      <xdr:rowOff>161925</xdr:rowOff>
    </xdr:to>
    <xdr:sp>
      <xdr:nvSpPr>
        <xdr:cNvPr id="10" name="Down Arrow 10"/>
        <xdr:cNvSpPr>
          <a:spLocks/>
        </xdr:cNvSpPr>
      </xdr:nvSpPr>
      <xdr:spPr>
        <a:xfrm>
          <a:off x="5581650" y="2543175"/>
          <a:ext cx="142875" cy="352425"/>
        </a:xfrm>
        <a:prstGeom prst="downArrow">
          <a:avLst>
            <a:gd name="adj" fmla="val 31819"/>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11</xdr:col>
      <xdr:colOff>142875</xdr:colOff>
      <xdr:row>18</xdr:row>
      <xdr:rowOff>28575</xdr:rowOff>
    </xdr:from>
    <xdr:to>
      <xdr:col>12</xdr:col>
      <xdr:colOff>209550</xdr:colOff>
      <xdr:row>18</xdr:row>
      <xdr:rowOff>133350</xdr:rowOff>
    </xdr:to>
    <xdr:sp>
      <xdr:nvSpPr>
        <xdr:cNvPr id="11" name="Right Arrow 11"/>
        <xdr:cNvSpPr>
          <a:spLocks/>
        </xdr:cNvSpPr>
      </xdr:nvSpPr>
      <xdr:spPr>
        <a:xfrm>
          <a:off x="6953250" y="3305175"/>
          <a:ext cx="676275" cy="104775"/>
        </a:xfrm>
        <a:prstGeom prst="rightArrow">
          <a:avLst>
            <a:gd name="adj" fmla="val 41680"/>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12</xdr:col>
      <xdr:colOff>266700</xdr:colOff>
      <xdr:row>18</xdr:row>
      <xdr:rowOff>123825</xdr:rowOff>
    </xdr:from>
    <xdr:to>
      <xdr:col>12</xdr:col>
      <xdr:colOff>381000</xdr:colOff>
      <xdr:row>20</xdr:row>
      <xdr:rowOff>133350</xdr:rowOff>
    </xdr:to>
    <xdr:sp>
      <xdr:nvSpPr>
        <xdr:cNvPr id="12" name="Down Arrow 12"/>
        <xdr:cNvSpPr>
          <a:spLocks/>
        </xdr:cNvSpPr>
      </xdr:nvSpPr>
      <xdr:spPr>
        <a:xfrm>
          <a:off x="7686675" y="3400425"/>
          <a:ext cx="114300" cy="371475"/>
        </a:xfrm>
        <a:prstGeom prst="downArrow">
          <a:avLst>
            <a:gd name="adj" fmla="val 36111"/>
          </a:avLst>
        </a:prstGeom>
        <a:solidFill>
          <a:srgbClr val="00FFCC"/>
        </a:solidFill>
        <a:ln w="25400" cmpd="sng">
          <a:solidFill>
            <a:srgbClr val="0000FF"/>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hareteam5.na.xom.com/sites/TKMEMBS032/Exposure/Shared%20Documents/current%20version%20-%20EGRET%20for%20web-released\MasterCSA_07_20_2010_beta%20-%20updated%20with%20flow%20charts%20for%20the%202%20func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pdates "/>
      <sheetName val="User Guidance"/>
      <sheetName val="Picklist"/>
      <sheetName val="Standard Phrases"/>
      <sheetName val="High_Above_10Pa"/>
      <sheetName val="Med_1_to_10Pa"/>
      <sheetName val="MLow_0.1_to_1Pa"/>
      <sheetName val="Low_Below_0.1Pa"/>
      <sheetName val="Narr_High"/>
      <sheetName val="Narr_Med"/>
      <sheetName val="Narr_MLow"/>
      <sheetName val="Narr_Low"/>
      <sheetName val="References"/>
      <sheetName val="OCpopulating1"/>
      <sheetName val="RMMpopulating1"/>
    </sheetNames>
    <sheetDataSet>
      <sheetData sheetId="2">
        <row r="2">
          <cell r="A2" t="str">
            <v>PC1:Adhesives, sealants</v>
          </cell>
          <cell r="C2" t="str">
            <v>indoor, typical</v>
          </cell>
          <cell r="E2">
            <v>0.6</v>
          </cell>
          <cell r="H2">
            <v>20</v>
          </cell>
        </row>
        <row r="3">
          <cell r="A3" t="str">
            <v>PC2_n: Adsorbents</v>
          </cell>
          <cell r="C3" t="str">
            <v>indoor, ventilation</v>
          </cell>
          <cell r="E3">
            <v>2.5</v>
          </cell>
        </row>
        <row r="4">
          <cell r="A4" t="str">
            <v>PC3:Air care products</v>
          </cell>
          <cell r="C4" t="str">
            <v>indoor, active ventilation</v>
          </cell>
        </row>
        <row r="5">
          <cell r="A5" t="str">
            <v>PC4_n:Anti-freeze and de-icing products</v>
          </cell>
          <cell r="C5" t="str">
            <v>garage</v>
          </cell>
          <cell r="E5">
            <v>1.5</v>
          </cell>
          <cell r="H5">
            <v>34</v>
          </cell>
        </row>
        <row r="6">
          <cell r="A6" t="str">
            <v>PC5_n</v>
          </cell>
          <cell r="C6" t="str">
            <v>outdoor</v>
          </cell>
          <cell r="H6">
            <v>100</v>
          </cell>
        </row>
        <row r="7">
          <cell r="A7" t="str">
            <v>PC6_n</v>
          </cell>
        </row>
        <row r="8">
          <cell r="A8" t="str">
            <v>PC7_n: Base metals and alloys</v>
          </cell>
        </row>
        <row r="9">
          <cell r="A9" t="str">
            <v>PC8_n: Biocidal products (excipient use only for solvent products)</v>
          </cell>
        </row>
        <row r="10">
          <cell r="A10" t="str">
            <v>PC9a:Coatings, paints, thinners,paint removers</v>
          </cell>
        </row>
        <row r="11">
          <cell r="A11" t="str">
            <v>PC9b:Fillers, putties, plasters, modeling clay</v>
          </cell>
        </row>
        <row r="12">
          <cell r="A12" t="str">
            <v>PC9c:Finger paints </v>
          </cell>
        </row>
        <row r="13">
          <cell r="A13" t="str">
            <v>PC10_n</v>
          </cell>
        </row>
        <row r="14">
          <cell r="A14" t="str">
            <v>PC11_n: Explosives</v>
          </cell>
        </row>
        <row r="15">
          <cell r="A15" t="str">
            <v>PC12:Fertilizers</v>
          </cell>
        </row>
        <row r="16">
          <cell r="A16" t="str">
            <v>PC13:Fuels</v>
          </cell>
        </row>
        <row r="17">
          <cell r="A17" t="str">
            <v>PC14_n: Metal surface treatment products</v>
          </cell>
        </row>
        <row r="18">
          <cell r="A18" t="str">
            <v>PC15_n: Non-metal surface treatment products</v>
          </cell>
        </row>
        <row r="19">
          <cell r="A19" t="str">
            <v>PC16_n: Heat transfer fluids</v>
          </cell>
        </row>
        <row r="20">
          <cell r="A20" t="str">
            <v>PC17_n: Hydraulic fluids</v>
          </cell>
        </row>
        <row r="21">
          <cell r="A21" t="str">
            <v>PC18_n: Ink and toners</v>
          </cell>
        </row>
        <row r="22">
          <cell r="A22" t="str">
            <v>PC19_n: Intermediate</v>
          </cell>
        </row>
        <row r="23">
          <cell r="A23" t="str">
            <v>PC20_n: Products such as PH-regulators, flocculants, precipitants, neutralization agents, other unspecific</v>
          </cell>
        </row>
        <row r="24">
          <cell r="A24" t="str">
            <v>PC21_n: Laboratory chemicals</v>
          </cell>
        </row>
        <row r="25">
          <cell r="A25" t="str">
            <v>PC22_n</v>
          </cell>
        </row>
        <row r="26">
          <cell r="A26" t="str">
            <v>PC23_n: Leather tanning, dye, finishing, impregnation and care products</v>
          </cell>
        </row>
        <row r="27">
          <cell r="A27" t="str">
            <v>PC24: Lubricants, greases, and release products</v>
          </cell>
        </row>
        <row r="28">
          <cell r="A28" t="str">
            <v>PC25_n: Metal working fluids</v>
          </cell>
        </row>
        <row r="29">
          <cell r="A29" t="str">
            <v>PC26_n: Paper and board dye, finishing and impregnation products</v>
          </cell>
        </row>
        <row r="30">
          <cell r="A30" t="str">
            <v>PC27_n: Plant protection products</v>
          </cell>
        </row>
        <row r="31">
          <cell r="A31" t="str">
            <v>PC28_n: Perfumes, frangrances</v>
          </cell>
        </row>
        <row r="32">
          <cell r="A32" t="str">
            <v>PC29_n: Pharmaceuticals</v>
          </cell>
        </row>
        <row r="33">
          <cell r="A33" t="str">
            <v>PC30_n: Photochemicals</v>
          </cell>
        </row>
        <row r="34">
          <cell r="A34" t="str">
            <v>PC31:Polishes and wax blends</v>
          </cell>
        </row>
        <row r="35">
          <cell r="A35" t="str">
            <v>PC32_n: Polymer preparations and compounds</v>
          </cell>
        </row>
        <row r="36">
          <cell r="A36" t="str">
            <v>PC33_n: Semiconductor</v>
          </cell>
        </row>
        <row r="37">
          <cell r="A37" t="str">
            <v>PC34_n: Textile dyes, finishing and impregnating products</v>
          </cell>
        </row>
        <row r="38">
          <cell r="A38" t="str">
            <v>PC35:Washing and cleaning products (including solvent based products)</v>
          </cell>
        </row>
        <row r="39">
          <cell r="A39" t="str">
            <v>PC36_n: Water softners</v>
          </cell>
        </row>
        <row r="40">
          <cell r="A40" t="str">
            <v>PC37_n: Water treatment chemicals</v>
          </cell>
        </row>
        <row r="41">
          <cell r="A41" t="str">
            <v>PC38_n: Welding and soldering products, flux products</v>
          </cell>
        </row>
        <row r="42">
          <cell r="A42" t="str">
            <v>PC39_n: Cosmetics, personal care products</v>
          </cell>
        </row>
        <row r="43">
          <cell r="A43" t="str">
            <v>PC40_n: Extraction agents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
  <dimension ref="A1:B38"/>
  <sheetViews>
    <sheetView zoomScalePageLayoutView="0" workbookViewId="0" topLeftCell="A1">
      <selection activeCell="B40" sqref="B40"/>
    </sheetView>
  </sheetViews>
  <sheetFormatPr defaultColWidth="9.140625" defaultRowHeight="12.75"/>
  <cols>
    <col min="1" max="1" width="14.421875" style="320" customWidth="1"/>
    <col min="2" max="2" width="110.7109375" style="320" customWidth="1"/>
    <col min="3" max="16384" width="9.140625" style="320" customWidth="1"/>
  </cols>
  <sheetData>
    <row r="1" spans="1:2" ht="12.75">
      <c r="A1" s="322" t="s">
        <v>17</v>
      </c>
      <c r="B1" s="322" t="s">
        <v>19</v>
      </c>
    </row>
    <row r="2" spans="1:2" ht="54" customHeight="1">
      <c r="A2" s="321">
        <v>40393</v>
      </c>
      <c r="B2" s="65" t="s">
        <v>18</v>
      </c>
    </row>
    <row r="3" spans="1:2" ht="12.75">
      <c r="A3" s="321"/>
      <c r="B3" s="65"/>
    </row>
    <row r="4" spans="1:2" ht="26.25">
      <c r="A4" s="321">
        <v>42083</v>
      </c>
      <c r="B4" s="65" t="s">
        <v>20</v>
      </c>
    </row>
    <row r="5" spans="1:2" ht="12.75">
      <c r="A5" s="321"/>
      <c r="B5" s="65"/>
    </row>
    <row r="6" spans="1:2" ht="26.25">
      <c r="A6" s="321"/>
      <c r="B6" s="65" t="s">
        <v>583</v>
      </c>
    </row>
    <row r="7" spans="1:2" ht="12.75">
      <c r="A7" s="321"/>
      <c r="B7" s="65"/>
    </row>
    <row r="8" spans="1:2" ht="26.25">
      <c r="A8" s="321"/>
      <c r="B8" s="320" t="s">
        <v>21</v>
      </c>
    </row>
    <row r="10" ht="12.75">
      <c r="B10" s="343" t="s">
        <v>24</v>
      </c>
    </row>
    <row r="11" ht="12.75">
      <c r="B11" s="343" t="s">
        <v>23</v>
      </c>
    </row>
    <row r="12" ht="12.75">
      <c r="B12" s="343" t="s">
        <v>25</v>
      </c>
    </row>
    <row r="13" ht="12.75">
      <c r="B13" s="343" t="s">
        <v>26</v>
      </c>
    </row>
    <row r="14" ht="12.75">
      <c r="B14" s="343" t="s">
        <v>27</v>
      </c>
    </row>
    <row r="16" spans="1:2" ht="26.25">
      <c r="A16" s="321"/>
      <c r="B16" s="320" t="s">
        <v>22</v>
      </c>
    </row>
    <row r="17" ht="12.75">
      <c r="A17" s="321"/>
    </row>
    <row r="18" spans="1:2" ht="66">
      <c r="A18" s="321"/>
      <c r="B18" s="320" t="s">
        <v>575</v>
      </c>
    </row>
    <row r="20" spans="1:2" ht="39">
      <c r="A20" s="321"/>
      <c r="B20" s="320" t="s">
        <v>576</v>
      </c>
    </row>
    <row r="22" spans="1:2" ht="78.75">
      <c r="A22" s="321"/>
      <c r="B22" s="320" t="s">
        <v>584</v>
      </c>
    </row>
    <row r="24" spans="1:2" ht="26.25">
      <c r="A24" s="321"/>
      <c r="B24" s="65" t="s">
        <v>578</v>
      </c>
    </row>
    <row r="25" ht="12.75">
      <c r="B25" s="65"/>
    </row>
    <row r="26" spans="1:2" ht="26.25">
      <c r="A26" s="321"/>
      <c r="B26" s="65" t="s">
        <v>585</v>
      </c>
    </row>
    <row r="28" ht="26.25">
      <c r="B28" s="65" t="s">
        <v>665</v>
      </c>
    </row>
    <row r="29" ht="12.75">
      <c r="B29" s="65"/>
    </row>
    <row r="30" spans="1:2" ht="18.75" customHeight="1">
      <c r="A30" s="321"/>
      <c r="B30" s="65" t="s">
        <v>664</v>
      </c>
    </row>
    <row r="32" ht="12.75">
      <c r="B32" s="65" t="s">
        <v>660</v>
      </c>
    </row>
    <row r="34" ht="12.75">
      <c r="B34" s="65" t="s">
        <v>663</v>
      </c>
    </row>
    <row r="36" ht="26.25">
      <c r="B36" s="65" t="s">
        <v>661</v>
      </c>
    </row>
    <row r="38" ht="26.25">
      <c r="B38" s="320" t="s">
        <v>662</v>
      </c>
    </row>
  </sheetData>
  <sheetProtection password="8EB8"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9"/>
  <dimension ref="A1:F40"/>
  <sheetViews>
    <sheetView zoomScalePageLayoutView="0" workbookViewId="0" topLeftCell="A1">
      <selection activeCell="A4" sqref="A4"/>
    </sheetView>
  </sheetViews>
  <sheetFormatPr defaultColWidth="9.140625" defaultRowHeight="12.75"/>
  <cols>
    <col min="1" max="1" width="95.00390625" style="0" customWidth="1"/>
  </cols>
  <sheetData>
    <row r="1" ht="163.5">
      <c r="A1" s="24" t="s">
        <v>669</v>
      </c>
    </row>
    <row r="2" spans="1:6" ht="12.75">
      <c r="A2" s="23"/>
      <c r="D2" s="11"/>
      <c r="E2" s="292"/>
      <c r="F2" s="11"/>
    </row>
    <row r="3" spans="1:6" ht="12.75">
      <c r="A3" s="60" t="s">
        <v>295</v>
      </c>
      <c r="D3" s="11"/>
      <c r="E3" s="292"/>
      <c r="F3" s="292"/>
    </row>
    <row r="4" spans="1:4" ht="96" customHeight="1">
      <c r="A4" s="65" t="s">
        <v>6</v>
      </c>
      <c r="C4" s="611"/>
      <c r="D4" s="11"/>
    </row>
    <row r="5" ht="43.5" customHeight="1">
      <c r="A5" s="61" t="s">
        <v>246</v>
      </c>
    </row>
    <row r="6" ht="12.75">
      <c r="A6" s="61" t="s">
        <v>621</v>
      </c>
    </row>
    <row r="7" spans="1:5" ht="52.5">
      <c r="A7" s="61" t="s">
        <v>626</v>
      </c>
      <c r="C7" s="11"/>
      <c r="D7" s="11"/>
      <c r="E7" s="292"/>
    </row>
    <row r="8" ht="12.75">
      <c r="A8" s="23"/>
    </row>
    <row r="9" spans="1:3" ht="66">
      <c r="A9" s="23" t="s">
        <v>622</v>
      </c>
      <c r="C9" s="11"/>
    </row>
    <row r="10" spans="1:3" ht="12.75">
      <c r="A10" s="23"/>
      <c r="C10" s="292"/>
    </row>
    <row r="11" spans="1:3" ht="12.75">
      <c r="A11" s="62" t="s">
        <v>247</v>
      </c>
      <c r="C11" s="292"/>
    </row>
    <row r="12" spans="1:3" ht="66">
      <c r="A12" s="63" t="s">
        <v>623</v>
      </c>
      <c r="C12" s="11"/>
    </row>
    <row r="13" spans="1:3" ht="12.75">
      <c r="A13" s="63"/>
      <c r="C13" s="292"/>
    </row>
    <row r="14" spans="1:3" ht="12.75">
      <c r="A14" s="62" t="s">
        <v>248</v>
      </c>
      <c r="C14" s="292"/>
    </row>
    <row r="15" spans="1:3" s="3" customFormat="1" ht="12.75">
      <c r="A15" s="63" t="s">
        <v>4</v>
      </c>
      <c r="C15" s="293"/>
    </row>
    <row r="16" spans="1:3" s="3" customFormat="1" ht="26.25">
      <c r="A16" s="63" t="s">
        <v>5</v>
      </c>
      <c r="C16" s="11"/>
    </row>
    <row r="17" ht="12.75">
      <c r="A17" s="23" t="s">
        <v>249</v>
      </c>
    </row>
    <row r="18" spans="1:3" ht="26.25">
      <c r="A18" s="23" t="s">
        <v>250</v>
      </c>
      <c r="C18" s="291"/>
    </row>
    <row r="19" ht="12.75">
      <c r="A19" s="23" t="s">
        <v>251</v>
      </c>
    </row>
    <row r="20" spans="1:3" ht="66">
      <c r="A20" s="63" t="s">
        <v>627</v>
      </c>
      <c r="C20" s="3"/>
    </row>
    <row r="21" ht="12.75">
      <c r="A21" s="63" t="s">
        <v>624</v>
      </c>
    </row>
    <row r="22" ht="12.75">
      <c r="A22" s="63" t="s">
        <v>614</v>
      </c>
    </row>
    <row r="23" ht="12.75">
      <c r="A23" s="63" t="s">
        <v>615</v>
      </c>
    </row>
    <row r="24" ht="105">
      <c r="A24" s="63" t="s">
        <v>616</v>
      </c>
    </row>
    <row r="25" ht="12.75">
      <c r="A25" s="63" t="s">
        <v>617</v>
      </c>
    </row>
    <row r="26" ht="12.75">
      <c r="A26" s="63" t="s">
        <v>618</v>
      </c>
    </row>
    <row r="27" spans="1:3" ht="26.25">
      <c r="A27" s="63" t="s">
        <v>625</v>
      </c>
      <c r="C27" s="11"/>
    </row>
    <row r="28" ht="12.75">
      <c r="A28" s="23"/>
    </row>
    <row r="29" ht="12.75">
      <c r="A29" s="62" t="s">
        <v>252</v>
      </c>
    </row>
    <row r="30" ht="66">
      <c r="A30" s="612" t="s">
        <v>619</v>
      </c>
    </row>
    <row r="31" ht="12.75">
      <c r="A31" s="23"/>
    </row>
    <row r="32" ht="52.5">
      <c r="A32" s="23" t="s">
        <v>187</v>
      </c>
    </row>
    <row r="33" ht="12.75">
      <c r="A33" s="23"/>
    </row>
    <row r="34" ht="26.25">
      <c r="A34" s="23" t="s">
        <v>186</v>
      </c>
    </row>
    <row r="36" ht="12.75">
      <c r="A36" t="s">
        <v>620</v>
      </c>
    </row>
    <row r="37" ht="105">
      <c r="A37" s="23" t="s">
        <v>582</v>
      </c>
    </row>
    <row r="39" ht="12.75">
      <c r="A39" s="62" t="s">
        <v>581</v>
      </c>
    </row>
    <row r="40" ht="39">
      <c r="A40" s="63" t="s">
        <v>580</v>
      </c>
    </row>
  </sheetData>
  <sheetProtection password="8EB8"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1"/>
  <dimension ref="A1:R43"/>
  <sheetViews>
    <sheetView zoomScale="85" zoomScaleNormal="85" zoomScalePageLayoutView="0" workbookViewId="0" topLeftCell="A1">
      <selection activeCell="F16" sqref="F16"/>
    </sheetView>
  </sheetViews>
  <sheetFormatPr defaultColWidth="9.140625" defaultRowHeight="12.75"/>
  <cols>
    <col min="1" max="1" width="46.00390625" style="0" customWidth="1"/>
    <col min="2" max="2" width="3.00390625" style="0" customWidth="1"/>
    <col min="3" max="3" width="15.421875" style="0" bestFit="1" customWidth="1"/>
    <col min="4" max="4" width="3.00390625" style="0" customWidth="1"/>
    <col min="5" max="5" width="14.00390625" style="0" customWidth="1"/>
    <col min="6" max="6" width="28.8515625" style="0" customWidth="1"/>
    <col min="7" max="7" width="2.8515625" style="0" customWidth="1"/>
    <col min="8" max="8" width="13.28125" style="0" customWidth="1"/>
    <col min="9" max="9" width="29.00390625" style="0" customWidth="1"/>
    <col min="10" max="10" width="3.00390625" style="0" customWidth="1"/>
    <col min="11" max="11" width="12.140625" style="0" customWidth="1"/>
    <col min="13" max="13" width="13.8515625" style="0" customWidth="1"/>
    <col min="15" max="15" width="17.140625" style="0" customWidth="1"/>
    <col min="16" max="16" width="10.28125" style="0" customWidth="1"/>
    <col min="18" max="18" width="14.00390625" style="0" customWidth="1"/>
  </cols>
  <sheetData>
    <row r="1" spans="1:18" s="591" customFormat="1" ht="51">
      <c r="A1" s="590" t="s">
        <v>114</v>
      </c>
      <c r="C1" s="590" t="s">
        <v>115</v>
      </c>
      <c r="E1" s="590" t="s">
        <v>628</v>
      </c>
      <c r="F1" s="590" t="s">
        <v>10</v>
      </c>
      <c r="H1" s="590" t="s">
        <v>629</v>
      </c>
      <c r="I1" s="590" t="s">
        <v>10</v>
      </c>
      <c r="K1" s="590" t="s">
        <v>284</v>
      </c>
      <c r="M1" s="590" t="s">
        <v>591</v>
      </c>
      <c r="O1" s="590" t="s">
        <v>592</v>
      </c>
      <c r="P1" s="590" t="s">
        <v>630</v>
      </c>
      <c r="R1" s="592"/>
    </row>
    <row r="2" spans="1:16" ht="38.25">
      <c r="A2" s="6" t="s">
        <v>466</v>
      </c>
      <c r="C2" s="2" t="s">
        <v>496</v>
      </c>
      <c r="E2" s="5">
        <v>0.6</v>
      </c>
      <c r="F2" s="317" t="s">
        <v>13</v>
      </c>
      <c r="H2" s="5">
        <v>20</v>
      </c>
      <c r="I2" s="317" t="s">
        <v>13</v>
      </c>
      <c r="K2" s="5"/>
      <c r="M2" s="5">
        <v>0.2</v>
      </c>
      <c r="O2" s="5" t="s">
        <v>593</v>
      </c>
      <c r="P2" s="569">
        <v>1</v>
      </c>
    </row>
    <row r="3" spans="1:16" ht="26.25">
      <c r="A3" s="6" t="s">
        <v>467</v>
      </c>
      <c r="C3" s="2" t="s">
        <v>497</v>
      </c>
      <c r="E3" s="5">
        <v>2.5</v>
      </c>
      <c r="F3" s="317" t="s">
        <v>12</v>
      </c>
      <c r="H3" s="5">
        <v>20</v>
      </c>
      <c r="I3" s="317" t="s">
        <v>13</v>
      </c>
      <c r="M3" s="5">
        <v>0.5</v>
      </c>
      <c r="O3" s="5" t="s">
        <v>594</v>
      </c>
      <c r="P3" s="569">
        <v>0.2</v>
      </c>
    </row>
    <row r="4" spans="1:16" ht="26.25">
      <c r="A4" s="6" t="s">
        <v>468</v>
      </c>
      <c r="C4" s="2" t="s">
        <v>498</v>
      </c>
      <c r="E4" s="5">
        <v>1.5</v>
      </c>
      <c r="F4" s="317" t="s">
        <v>11</v>
      </c>
      <c r="H4" s="5">
        <v>34</v>
      </c>
      <c r="I4" s="317" t="s">
        <v>11</v>
      </c>
      <c r="M4" s="5">
        <v>0.9</v>
      </c>
      <c r="O4" s="5" t="s">
        <v>595</v>
      </c>
      <c r="P4" s="569">
        <v>0.04</v>
      </c>
    </row>
    <row r="5" spans="1:16" ht="26.25">
      <c r="A5" s="6" t="s">
        <v>63</v>
      </c>
      <c r="C5" s="2" t="s">
        <v>499</v>
      </c>
      <c r="E5" s="569">
        <v>2.5</v>
      </c>
      <c r="F5" s="570" t="s">
        <v>590</v>
      </c>
      <c r="H5" s="64">
        <v>100</v>
      </c>
      <c r="I5" s="318" t="s">
        <v>14</v>
      </c>
      <c r="O5" s="5" t="s">
        <v>596</v>
      </c>
      <c r="P5" s="569">
        <v>0.01</v>
      </c>
    </row>
    <row r="6" spans="1:3" ht="12.75">
      <c r="A6" s="6" t="s">
        <v>540</v>
      </c>
      <c r="C6" s="12"/>
    </row>
    <row r="7" spans="1:3" ht="12.75">
      <c r="A7" s="7" t="s">
        <v>541</v>
      </c>
      <c r="C7" s="10"/>
    </row>
    <row r="8" spans="1:6" ht="12.75">
      <c r="A8" s="7" t="s">
        <v>469</v>
      </c>
      <c r="E8" s="3"/>
      <c r="F8" s="3"/>
    </row>
    <row r="9" spans="1:6" ht="26.25">
      <c r="A9" s="7" t="s">
        <v>175</v>
      </c>
      <c r="E9" s="3"/>
      <c r="F9" s="3"/>
    </row>
    <row r="10" ht="12.75">
      <c r="A10" s="6" t="s">
        <v>15</v>
      </c>
    </row>
    <row r="11" ht="12.75">
      <c r="A11" s="6" t="s">
        <v>454</v>
      </c>
    </row>
    <row r="12" ht="12.75">
      <c r="A12" s="6" t="s">
        <v>482</v>
      </c>
    </row>
    <row r="13" ht="12.75">
      <c r="A13" s="8" t="s">
        <v>542</v>
      </c>
    </row>
    <row r="14" ht="12.75">
      <c r="A14" s="8" t="s">
        <v>470</v>
      </c>
    </row>
    <row r="15" ht="12.75">
      <c r="A15" s="6" t="s">
        <v>471</v>
      </c>
    </row>
    <row r="16" ht="12.75">
      <c r="A16" s="6" t="s">
        <v>472</v>
      </c>
    </row>
    <row r="17" ht="12.75">
      <c r="A17" s="6" t="s">
        <v>473</v>
      </c>
    </row>
    <row r="18" ht="12.75">
      <c r="A18" s="6" t="s">
        <v>474</v>
      </c>
    </row>
    <row r="19" ht="12.75">
      <c r="A19" s="9" t="s">
        <v>475</v>
      </c>
    </row>
    <row r="20" ht="12.75">
      <c r="A20" s="9" t="s">
        <v>476</v>
      </c>
    </row>
    <row r="21" ht="12.75">
      <c r="A21" s="9" t="s">
        <v>477</v>
      </c>
    </row>
    <row r="22" ht="12.75">
      <c r="A22" s="9" t="s">
        <v>478</v>
      </c>
    </row>
    <row r="23" ht="39">
      <c r="A23" s="6" t="s">
        <v>479</v>
      </c>
    </row>
    <row r="24" ht="12.75">
      <c r="A24" s="6" t="s">
        <v>480</v>
      </c>
    </row>
    <row r="25" ht="12.75">
      <c r="A25" s="6" t="s">
        <v>543</v>
      </c>
    </row>
    <row r="26" ht="26.25">
      <c r="A26" s="6" t="s">
        <v>481</v>
      </c>
    </row>
    <row r="27" ht="12.75">
      <c r="A27" s="9" t="s">
        <v>399</v>
      </c>
    </row>
    <row r="28" ht="12.75">
      <c r="A28" s="6" t="s">
        <v>400</v>
      </c>
    </row>
    <row r="29" ht="26.25">
      <c r="A29" s="6" t="s">
        <v>401</v>
      </c>
    </row>
    <row r="30" ht="12.75">
      <c r="A30" s="9" t="s">
        <v>402</v>
      </c>
    </row>
    <row r="31" ht="12.75">
      <c r="A31" s="6" t="s">
        <v>403</v>
      </c>
    </row>
    <row r="32" ht="12.75">
      <c r="A32" s="6" t="s">
        <v>404</v>
      </c>
    </row>
    <row r="33" ht="12.75">
      <c r="A33" s="6" t="s">
        <v>405</v>
      </c>
    </row>
    <row r="34" ht="12.75">
      <c r="A34" s="6" t="s">
        <v>406</v>
      </c>
    </row>
    <row r="35" ht="12.75">
      <c r="A35" s="6" t="s">
        <v>407</v>
      </c>
    </row>
    <row r="36" ht="12.75">
      <c r="A36" s="6" t="s">
        <v>408</v>
      </c>
    </row>
    <row r="37" ht="26.25">
      <c r="A37" s="6" t="s">
        <v>409</v>
      </c>
    </row>
    <row r="38" ht="26.25">
      <c r="A38" s="6" t="s">
        <v>410</v>
      </c>
    </row>
    <row r="39" ht="12.75">
      <c r="A39" s="6" t="s">
        <v>411</v>
      </c>
    </row>
    <row r="40" ht="12.75">
      <c r="A40" s="6" t="s">
        <v>412</v>
      </c>
    </row>
    <row r="41" ht="26.25">
      <c r="A41" s="6" t="s">
        <v>413</v>
      </c>
    </row>
    <row r="42" ht="12.75">
      <c r="A42" s="6" t="s">
        <v>414</v>
      </c>
    </row>
    <row r="43" ht="12.75">
      <c r="A43" s="6" t="s">
        <v>415</v>
      </c>
    </row>
  </sheetData>
  <sheetProtection password="8EB8" sheet="1"/>
  <printOptions/>
  <pageMargins left="0.7" right="0.7" top="0.75" bottom="0.75" header="0.3" footer="0.3"/>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3"/>
  <dimension ref="A1:M33"/>
  <sheetViews>
    <sheetView zoomScalePageLayoutView="0" workbookViewId="0" topLeftCell="A1">
      <selection activeCell="G23" sqref="G23"/>
    </sheetView>
  </sheetViews>
  <sheetFormatPr defaultColWidth="9.140625" defaultRowHeight="12.75"/>
  <cols>
    <col min="1" max="1" width="12.57421875" style="0" customWidth="1"/>
    <col min="2" max="2" width="3.7109375" style="0" customWidth="1"/>
    <col min="12" max="12" width="13.8515625" style="0" customWidth="1"/>
    <col min="13" max="13" width="11.57421875" style="0" bestFit="1" customWidth="1"/>
  </cols>
  <sheetData>
    <row r="1" spans="1:3" ht="12.75">
      <c r="A1" s="4" t="s">
        <v>160</v>
      </c>
      <c r="C1" s="4" t="s">
        <v>67</v>
      </c>
    </row>
    <row r="2" spans="1:3" ht="12.75">
      <c r="A2" t="s">
        <v>68</v>
      </c>
      <c r="B2" s="3" t="s">
        <v>527</v>
      </c>
      <c r="C2" s="3" t="s">
        <v>69</v>
      </c>
    </row>
    <row r="3" spans="1:3" ht="12.75">
      <c r="A3" t="s">
        <v>70</v>
      </c>
      <c r="B3" s="3" t="s">
        <v>527</v>
      </c>
      <c r="C3" s="3" t="s">
        <v>71</v>
      </c>
    </row>
    <row r="4" spans="1:3" ht="12.75">
      <c r="A4" t="s">
        <v>72</v>
      </c>
      <c r="B4" t="s">
        <v>527</v>
      </c>
      <c r="C4" t="s">
        <v>225</v>
      </c>
    </row>
    <row r="5" spans="1:3" ht="12.75">
      <c r="A5" t="s">
        <v>73</v>
      </c>
      <c r="B5" s="3" t="s">
        <v>527</v>
      </c>
      <c r="C5" s="3" t="s">
        <v>226</v>
      </c>
    </row>
    <row r="6" spans="1:3" ht="12.75">
      <c r="A6" t="s">
        <v>74</v>
      </c>
      <c r="B6" s="3" t="s">
        <v>527</v>
      </c>
      <c r="C6" s="3" t="s">
        <v>75</v>
      </c>
    </row>
    <row r="7" ht="12.75">
      <c r="A7" t="s">
        <v>76</v>
      </c>
    </row>
    <row r="8" ht="12.75">
      <c r="A8" t="s">
        <v>77</v>
      </c>
    </row>
    <row r="9" spans="1:3" ht="12.75">
      <c r="A9" t="s">
        <v>78</v>
      </c>
      <c r="B9" s="3" t="s">
        <v>527</v>
      </c>
      <c r="C9" s="3" t="s">
        <v>79</v>
      </c>
    </row>
    <row r="10" ht="12.75">
      <c r="A10" t="s">
        <v>80</v>
      </c>
    </row>
    <row r="11" spans="1:3" ht="12.75">
      <c r="A11" t="s">
        <v>81</v>
      </c>
      <c r="C11" s="3" t="s">
        <v>134</v>
      </c>
    </row>
    <row r="12" spans="1:3" ht="12.75">
      <c r="A12" t="s">
        <v>83</v>
      </c>
      <c r="B12" s="3" t="s">
        <v>527</v>
      </c>
      <c r="C12" s="3" t="s">
        <v>82</v>
      </c>
    </row>
    <row r="13" spans="1:3" ht="12.75">
      <c r="A13" t="s">
        <v>85</v>
      </c>
      <c r="B13" s="3" t="s">
        <v>527</v>
      </c>
      <c r="C13" s="3" t="s">
        <v>84</v>
      </c>
    </row>
    <row r="14" spans="1:3" ht="12.75">
      <c r="A14" t="s">
        <v>87</v>
      </c>
      <c r="B14" s="3" t="s">
        <v>527</v>
      </c>
      <c r="C14" s="3" t="s">
        <v>86</v>
      </c>
    </row>
    <row r="15" spans="1:3" ht="12.75">
      <c r="A15" t="s">
        <v>89</v>
      </c>
      <c r="B15" s="3" t="s">
        <v>527</v>
      </c>
      <c r="C15" s="3" t="s">
        <v>88</v>
      </c>
    </row>
    <row r="16" spans="1:3" ht="12.75">
      <c r="A16" t="s">
        <v>136</v>
      </c>
      <c r="B16" s="3" t="s">
        <v>527</v>
      </c>
      <c r="C16" t="s">
        <v>90</v>
      </c>
    </row>
    <row r="19" spans="1:9" ht="12.75">
      <c r="A19" s="4" t="s">
        <v>109</v>
      </c>
      <c r="C19" s="4" t="s">
        <v>91</v>
      </c>
      <c r="I19" s="11"/>
    </row>
    <row r="20" spans="1:3" ht="12.75">
      <c r="A20" t="s">
        <v>92</v>
      </c>
      <c r="B20" t="s">
        <v>527</v>
      </c>
      <c r="C20" s="3" t="s">
        <v>530</v>
      </c>
    </row>
    <row r="21" spans="1:3" ht="12.75">
      <c r="A21" t="s">
        <v>93</v>
      </c>
      <c r="B21" t="s">
        <v>527</v>
      </c>
      <c r="C21" s="3" t="s">
        <v>531</v>
      </c>
    </row>
    <row r="22" spans="1:3" ht="12.75">
      <c r="A22" t="s">
        <v>94</v>
      </c>
      <c r="C22" t="s">
        <v>228</v>
      </c>
    </row>
    <row r="23" spans="1:3" ht="12.75">
      <c r="A23" t="s">
        <v>95</v>
      </c>
      <c r="C23" t="s">
        <v>227</v>
      </c>
    </row>
    <row r="24" spans="1:3" ht="12.75">
      <c r="A24" t="s">
        <v>96</v>
      </c>
      <c r="C24" t="s">
        <v>532</v>
      </c>
    </row>
    <row r="25" spans="1:12" ht="12.75">
      <c r="A25" t="s">
        <v>97</v>
      </c>
      <c r="B25" t="s">
        <v>527</v>
      </c>
      <c r="C25" t="s">
        <v>528</v>
      </c>
      <c r="L25" t="s">
        <v>495</v>
      </c>
    </row>
    <row r="26" spans="1:13" ht="12.75">
      <c r="A26" t="s">
        <v>98</v>
      </c>
      <c r="B26" s="3" t="s">
        <v>527</v>
      </c>
      <c r="C26" t="s">
        <v>137</v>
      </c>
      <c r="I26" s="13" t="s">
        <v>116</v>
      </c>
      <c r="J26" s="14"/>
      <c r="K26" s="14"/>
      <c r="L26" s="14">
        <v>0.6</v>
      </c>
      <c r="M26" s="15"/>
    </row>
    <row r="27" spans="1:13" ht="12.75">
      <c r="A27" t="s">
        <v>99</v>
      </c>
      <c r="B27" s="3" t="s">
        <v>527</v>
      </c>
      <c r="C27" t="s">
        <v>533</v>
      </c>
      <c r="I27" s="16" t="s">
        <v>112</v>
      </c>
      <c r="J27" s="1"/>
      <c r="K27" s="1"/>
      <c r="L27" s="1">
        <v>2.5</v>
      </c>
      <c r="M27" s="17"/>
    </row>
    <row r="28" spans="1:13" ht="12.75">
      <c r="A28" t="s">
        <v>100</v>
      </c>
      <c r="B28" s="3" t="s">
        <v>527</v>
      </c>
      <c r="C28" t="s">
        <v>534</v>
      </c>
      <c r="I28" s="16" t="s">
        <v>118</v>
      </c>
      <c r="J28" s="1"/>
      <c r="K28" s="1"/>
      <c r="L28" s="18"/>
      <c r="M28" s="19"/>
    </row>
    <row r="29" spans="1:13" ht="12.75">
      <c r="A29" t="s">
        <v>101</v>
      </c>
      <c r="B29" s="3" t="s">
        <v>527</v>
      </c>
      <c r="C29" s="3" t="s">
        <v>535</v>
      </c>
      <c r="I29" s="16" t="s">
        <v>498</v>
      </c>
      <c r="J29" s="1"/>
      <c r="K29" s="1"/>
      <c r="L29" s="1">
        <v>1.5</v>
      </c>
      <c r="M29" s="17"/>
    </row>
    <row r="30" spans="1:13" ht="12.75">
      <c r="A30" t="s">
        <v>255</v>
      </c>
      <c r="B30" s="3" t="s">
        <v>527</v>
      </c>
      <c r="C30" s="11" t="s">
        <v>348</v>
      </c>
      <c r="I30" s="20" t="s">
        <v>499</v>
      </c>
      <c r="J30" s="21"/>
      <c r="K30" s="21"/>
      <c r="L30" s="584">
        <v>2.5</v>
      </c>
      <c r="M30" s="22"/>
    </row>
    <row r="31" spans="1:3" ht="12.75">
      <c r="A31" t="s">
        <v>102</v>
      </c>
      <c r="B31" s="3" t="s">
        <v>527</v>
      </c>
      <c r="C31" t="s">
        <v>529</v>
      </c>
    </row>
    <row r="32" spans="1:3" ht="12.75">
      <c r="A32" t="s">
        <v>103</v>
      </c>
      <c r="B32" t="s">
        <v>527</v>
      </c>
      <c r="C32" t="s">
        <v>536</v>
      </c>
    </row>
    <row r="33" spans="1:3" ht="12.75">
      <c r="A33" t="s">
        <v>135</v>
      </c>
      <c r="C33" t="s">
        <v>537</v>
      </c>
    </row>
  </sheetData>
  <sheetProtection password="8EB8" sheet="1"/>
  <printOptions/>
  <pageMargins left="0.75" right="0.75" top="1" bottom="1" header="0.5" footer="0.5"/>
  <pageSetup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codeName="Blad9">
    <tabColor rgb="FFFFFF00"/>
    <pageSetUpPr fitToPage="1"/>
  </sheetPr>
  <dimension ref="A1:IN308"/>
  <sheetViews>
    <sheetView tabSelected="1" zoomScale="70" zoomScaleNormal="70" zoomScalePageLayoutView="0" workbookViewId="0" topLeftCell="A1">
      <selection activeCell="D11" sqref="D11"/>
    </sheetView>
  </sheetViews>
  <sheetFormatPr defaultColWidth="23.421875" defaultRowHeight="69" customHeight="1" outlineLevelCol="1"/>
  <cols>
    <col min="1" max="1" width="5.00390625" style="344" customWidth="1"/>
    <col min="2" max="2" width="22.8515625" style="350" customWidth="1"/>
    <col min="3" max="3" width="15.140625" style="350" customWidth="1"/>
    <col min="4" max="4" width="29.7109375" style="350" customWidth="1"/>
    <col min="5" max="5" width="30.8515625" style="350" customWidth="1"/>
    <col min="6" max="6" width="10.7109375" style="350" hidden="1" customWidth="1" outlineLevel="1"/>
    <col min="7" max="7" width="6.8515625" style="350" hidden="1" customWidth="1" outlineLevel="1"/>
    <col min="8" max="8" width="6.421875" style="350" hidden="1" customWidth="1" outlineLevel="1"/>
    <col min="9" max="9" width="6.00390625" style="350" hidden="1" customWidth="1" outlineLevel="1"/>
    <col min="10" max="10" width="8.8515625" style="350" hidden="1" customWidth="1" outlineLevel="1"/>
    <col min="11" max="11" width="12.28125" style="350" hidden="1" customWidth="1" outlineLevel="1"/>
    <col min="12" max="12" width="10.57421875" style="350" hidden="1" customWidth="1" outlineLevel="1"/>
    <col min="13" max="13" width="14.57421875" style="350" hidden="1" customWidth="1" outlineLevel="1"/>
    <col min="14" max="14" width="11.7109375" style="350" hidden="1" customWidth="1" outlineLevel="1"/>
    <col min="15" max="15" width="13.28125" style="350" hidden="1" customWidth="1" outlineLevel="1"/>
    <col min="16" max="16" width="12.00390625" style="350" hidden="1" customWidth="1" outlineLevel="1"/>
    <col min="17" max="17" width="13.8515625" style="350" customWidth="1" collapsed="1"/>
    <col min="18" max="18" width="13.421875" style="350" customWidth="1"/>
    <col min="19" max="19" width="11.00390625" style="350" customWidth="1"/>
    <col min="20" max="20" width="10.8515625" style="350" customWidth="1"/>
    <col min="21" max="21" width="16.8515625" style="347" customWidth="1"/>
    <col min="22" max="22" width="14.28125" style="347" customWidth="1"/>
    <col min="23" max="23" width="11.28125" style="347" customWidth="1"/>
    <col min="24" max="24" width="15.7109375" style="347" customWidth="1"/>
    <col min="25" max="25" width="12.7109375" style="347" customWidth="1"/>
    <col min="26" max="26" width="17.7109375" style="347" customWidth="1"/>
    <col min="27" max="27" width="17.8515625" style="347" customWidth="1"/>
    <col min="28" max="28" width="15.57421875" style="347" customWidth="1"/>
    <col min="29" max="29" width="14.57421875" style="346" customWidth="1"/>
    <col min="30" max="30" width="16.8515625" style="346" customWidth="1"/>
    <col min="31" max="31" width="16.28125" style="346" customWidth="1"/>
    <col min="32" max="32" width="9.7109375" style="346" customWidth="1"/>
    <col min="33" max="33" width="14.8515625" style="346" customWidth="1"/>
    <col min="34" max="34" width="5.8515625" style="346" customWidth="1"/>
    <col min="35" max="35" width="14.8515625" style="346" customWidth="1"/>
    <col min="36" max="36" width="13.8515625" style="346" customWidth="1"/>
    <col min="37" max="37" width="14.8515625" style="346" customWidth="1"/>
    <col min="38" max="38" width="10.28125" style="346" customWidth="1"/>
    <col min="39" max="39" width="7.421875" style="347" customWidth="1"/>
    <col min="40" max="40" width="12.7109375" style="347" customWidth="1"/>
    <col min="41" max="41" width="11.140625" style="347" customWidth="1"/>
    <col min="42" max="42" width="18.421875" style="347" customWidth="1"/>
    <col min="43" max="43" width="11.8515625" style="348" customWidth="1"/>
    <col min="44" max="44" width="15.7109375" style="347" customWidth="1"/>
    <col min="45" max="47" width="10.7109375" style="347" customWidth="1"/>
    <col min="48" max="48" width="13.57421875" style="347" customWidth="1"/>
    <col min="49" max="49" width="10.7109375" style="347" customWidth="1"/>
    <col min="50" max="50" width="9.421875" style="347" customWidth="1"/>
    <col min="51" max="51" width="9.140625" style="349" customWidth="1"/>
    <col min="52" max="52" width="12.7109375" style="349" customWidth="1"/>
    <col min="53" max="53" width="13.28125" style="349" customWidth="1"/>
    <col min="54" max="54" width="10.00390625" style="349" customWidth="1"/>
    <col min="55" max="55" width="9.7109375" style="347" customWidth="1"/>
    <col min="56" max="58" width="11.8515625" style="347" customWidth="1"/>
    <col min="59" max="61" width="15.8515625" style="347" customWidth="1"/>
    <col min="62" max="62" width="13.8515625" style="350" customWidth="1"/>
    <col min="63" max="64" width="12.421875" style="350" customWidth="1"/>
    <col min="65" max="65" width="13.8515625" style="351" customWidth="1"/>
    <col min="66" max="66" width="12.8515625" style="347" customWidth="1"/>
    <col min="67" max="67" width="13.140625" style="347" customWidth="1"/>
    <col min="68" max="68" width="13.7109375" style="352" customWidth="1"/>
    <col min="69" max="73" width="14.57421875" style="347" customWidth="1"/>
    <col min="74" max="74" width="48.00390625" style="347" customWidth="1"/>
    <col min="75" max="75" width="37.57421875" style="347" customWidth="1"/>
    <col min="76" max="76" width="11.421875" style="347" customWidth="1"/>
    <col min="77" max="77" width="12.421875" style="347" customWidth="1"/>
    <col min="78" max="78" width="12.8515625" style="347" customWidth="1"/>
    <col min="79" max="79" width="12.57421875" style="347" customWidth="1"/>
    <col min="80" max="83" width="13.57421875" style="347" customWidth="1"/>
    <col min="84" max="84" width="6.7109375" style="349" customWidth="1"/>
    <col min="85" max="85" width="20.140625" style="350" customWidth="1"/>
    <col min="86" max="86" width="16.57421875" style="350" customWidth="1"/>
    <col min="87" max="87" width="8.57421875" style="350" customWidth="1"/>
    <col min="88" max="88" width="7.28125" style="350" customWidth="1"/>
    <col min="89" max="89" width="10.421875" style="350" customWidth="1"/>
    <col min="90" max="90" width="10.00390625" style="350" customWidth="1"/>
    <col min="91" max="91" width="12.7109375" style="350" hidden="1" customWidth="1" outlineLevel="1"/>
    <col min="92" max="92" width="12.140625" style="350" hidden="1" customWidth="1" outlineLevel="1"/>
    <col min="93" max="93" width="12.00390625" style="350" hidden="1" customWidth="1" outlineLevel="1"/>
    <col min="94" max="94" width="13.28125" style="350" hidden="1" customWidth="1" outlineLevel="1"/>
    <col min="95" max="95" width="10.28125" style="350" hidden="1" customWidth="1" outlineLevel="1"/>
    <col min="96" max="101" width="9.57421875" style="350" hidden="1" customWidth="1" outlineLevel="1"/>
    <col min="102" max="102" width="10.28125" style="350" hidden="1" customWidth="1" outlineLevel="1"/>
    <col min="103" max="108" width="9.57421875" style="350" hidden="1" customWidth="1" outlineLevel="1"/>
    <col min="109" max="109" width="10.57421875" style="350" hidden="1" customWidth="1" outlineLevel="1"/>
    <col min="110" max="110" width="12.421875" style="350" hidden="1" customWidth="1" outlineLevel="1"/>
    <col min="111" max="111" width="12.00390625" style="350" hidden="1" customWidth="1" outlineLevel="1"/>
    <col min="112" max="112" width="13.00390625" style="350" hidden="1" customWidth="1" outlineLevel="1"/>
    <col min="113" max="113" width="11.57421875" style="350" hidden="1" customWidth="1" outlineLevel="1"/>
    <col min="114" max="114" width="14.57421875" style="350" hidden="1" customWidth="1" outlineLevel="1"/>
    <col min="115" max="115" width="14.00390625" style="350" hidden="1" customWidth="1" outlineLevel="1"/>
    <col min="116" max="116" width="14.7109375" style="350" hidden="1" customWidth="1" outlineLevel="1"/>
    <col min="117" max="117" width="12.140625" style="350" customWidth="1" collapsed="1"/>
    <col min="118" max="118" width="10.28125" style="350" customWidth="1"/>
    <col min="119" max="121" width="10.57421875" style="350" hidden="1" customWidth="1" outlineLevel="1"/>
    <col min="122" max="132" width="10.140625" style="350" hidden="1" customWidth="1" outlineLevel="1"/>
    <col min="133" max="136" width="9.57421875" style="350" hidden="1" customWidth="1" outlineLevel="1"/>
    <col min="137" max="137" width="10.57421875" style="350" hidden="1" customWidth="1" outlineLevel="1"/>
    <col min="138" max="138" width="12.421875" style="350" hidden="1" customWidth="1" outlineLevel="1"/>
    <col min="139" max="139" width="12.00390625" style="350" hidden="1" customWidth="1" outlineLevel="1"/>
    <col min="140" max="140" width="13.00390625" style="350" hidden="1" customWidth="1" outlineLevel="1"/>
    <col min="141" max="141" width="11.57421875" style="350" hidden="1" customWidth="1" outlineLevel="1"/>
    <col min="142" max="144" width="12.140625" style="350" hidden="1" customWidth="1" outlineLevel="1"/>
    <col min="145" max="145" width="12.140625" style="350" customWidth="1" collapsed="1"/>
    <col min="146" max="146" width="10.7109375" style="350" customWidth="1"/>
    <col min="147" max="149" width="10.8515625" style="350" hidden="1" customWidth="1" outlineLevel="1"/>
    <col min="150" max="157" width="10.421875" style="350" hidden="1" customWidth="1" outlineLevel="1"/>
    <col min="158" max="158" width="10.140625" style="350" hidden="1" customWidth="1" outlineLevel="1"/>
    <col min="159" max="160" width="10.421875" style="350" hidden="1" customWidth="1" outlineLevel="1"/>
    <col min="161" max="164" width="9.57421875" style="350" hidden="1" customWidth="1" outlineLevel="1"/>
    <col min="165" max="165" width="10.57421875" style="350" hidden="1" customWidth="1" outlineLevel="1"/>
    <col min="166" max="166" width="12.421875" style="350" hidden="1" customWidth="1" outlineLevel="1"/>
    <col min="167" max="167" width="12.00390625" style="350" hidden="1" customWidth="1" outlineLevel="1"/>
    <col min="168" max="168" width="13.00390625" style="350" hidden="1" customWidth="1" outlineLevel="1"/>
    <col min="169" max="169" width="11.57421875" style="350" hidden="1" customWidth="1" outlineLevel="1"/>
    <col min="170" max="172" width="12.421875" style="350" hidden="1" customWidth="1" outlineLevel="1"/>
    <col min="173" max="173" width="12.421875" style="350" customWidth="1" collapsed="1"/>
    <col min="174" max="174" width="11.00390625" style="350" customWidth="1"/>
    <col min="175" max="177" width="11.00390625" style="350" hidden="1" customWidth="1" outlineLevel="1"/>
    <col min="178" max="185" width="9.7109375" style="350" hidden="1" customWidth="1" outlineLevel="1"/>
    <col min="186" max="186" width="10.140625" style="350" hidden="1" customWidth="1" outlineLevel="1"/>
    <col min="187" max="188" width="9.7109375" style="350" hidden="1" customWidth="1" outlineLevel="1"/>
    <col min="189" max="192" width="9.57421875" style="350" hidden="1" customWidth="1" outlineLevel="1"/>
    <col min="193" max="193" width="10.57421875" style="350" hidden="1" customWidth="1" outlineLevel="1"/>
    <col min="194" max="194" width="12.421875" style="350" hidden="1" customWidth="1" outlineLevel="1"/>
    <col min="195" max="195" width="12.00390625" style="350" hidden="1" customWidth="1" outlineLevel="1"/>
    <col min="196" max="196" width="13.00390625" style="350" hidden="1" customWidth="1" outlineLevel="1"/>
    <col min="197" max="197" width="11.57421875" style="350" hidden="1" customWidth="1" outlineLevel="1"/>
    <col min="198" max="198" width="12.421875" style="350" hidden="1" customWidth="1" outlineLevel="1"/>
    <col min="199" max="199" width="12.140625" style="350" hidden="1" customWidth="1" outlineLevel="1"/>
    <col min="200" max="200" width="12.57421875" style="350" hidden="1" customWidth="1" outlineLevel="1"/>
    <col min="201" max="201" width="12.140625" style="350" customWidth="1" collapsed="1"/>
    <col min="202" max="202" width="10.57421875" style="350" customWidth="1"/>
    <col min="203" max="203" width="12.57421875" style="350" customWidth="1"/>
    <col min="204" max="204" width="13.8515625" style="350" customWidth="1"/>
    <col min="205" max="16384" width="23.421875" style="350" customWidth="1"/>
  </cols>
  <sheetData>
    <row r="1" spans="2:29" ht="19.5" customHeight="1" thickBot="1">
      <c r="B1" s="345"/>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row>
    <row r="2" spans="2:90" ht="27" customHeight="1">
      <c r="B2" s="614" t="s">
        <v>670</v>
      </c>
      <c r="C2" s="615"/>
      <c r="D2" s="615"/>
      <c r="E2" s="616"/>
      <c r="F2" s="353"/>
      <c r="G2" s="353"/>
      <c r="H2" s="353"/>
      <c r="I2" s="353"/>
      <c r="J2" s="353"/>
      <c r="K2" s="353"/>
      <c r="L2" s="353"/>
      <c r="M2" s="353"/>
      <c r="N2" s="353"/>
      <c r="O2" s="353"/>
      <c r="P2" s="353"/>
      <c r="Q2" s="354" t="s">
        <v>165</v>
      </c>
      <c r="R2" s="355"/>
      <c r="S2" s="353"/>
      <c r="T2" s="353"/>
      <c r="U2" s="353"/>
      <c r="V2" s="353"/>
      <c r="W2" s="353"/>
      <c r="X2" s="353"/>
      <c r="Y2" s="353"/>
      <c r="Z2" s="353"/>
      <c r="AA2" s="353"/>
      <c r="AB2" s="353"/>
      <c r="AC2" s="356"/>
      <c r="AD2" s="357"/>
      <c r="AE2" s="357"/>
      <c r="CH2" s="358" t="s">
        <v>603</v>
      </c>
      <c r="CI2" s="650" t="s">
        <v>161</v>
      </c>
      <c r="CJ2" s="650"/>
      <c r="CK2" s="650" t="s">
        <v>162</v>
      </c>
      <c r="CL2" s="651"/>
    </row>
    <row r="3" spans="2:149" ht="49.5" customHeight="1" thickBot="1">
      <c r="B3" s="617"/>
      <c r="C3" s="618"/>
      <c r="D3" s="618"/>
      <c r="E3" s="619"/>
      <c r="F3" s="359"/>
      <c r="G3" s="359"/>
      <c r="H3" s="359"/>
      <c r="I3" s="359"/>
      <c r="J3" s="359"/>
      <c r="K3" s="359"/>
      <c r="L3" s="359"/>
      <c r="M3" s="359"/>
      <c r="N3" s="359"/>
      <c r="O3" s="359"/>
      <c r="P3" s="137"/>
      <c r="Q3" s="360" t="s">
        <v>511</v>
      </c>
      <c r="R3" s="361" t="s">
        <v>256</v>
      </c>
      <c r="S3" s="78"/>
      <c r="T3" s="362" t="s">
        <v>493</v>
      </c>
      <c r="U3" s="79">
        <v>5000</v>
      </c>
      <c r="V3" s="362" t="s">
        <v>503</v>
      </c>
      <c r="W3" s="78" t="s">
        <v>423</v>
      </c>
      <c r="X3" s="363" t="s">
        <v>502</v>
      </c>
      <c r="Y3" s="579">
        <v>300000</v>
      </c>
      <c r="Z3" s="364" t="s">
        <v>422</v>
      </c>
      <c r="AA3" s="80" t="s">
        <v>460</v>
      </c>
      <c r="AB3" s="365" t="s">
        <v>494</v>
      </c>
      <c r="AC3" s="319">
        <f>IF(OR(U3="",Y3=""),"not calculated",((Y3*10^6)/101325)*(U3/24.45))</f>
        <v>605474396.7582902</v>
      </c>
      <c r="AD3" s="357"/>
      <c r="AE3" s="366"/>
      <c r="AF3" s="367"/>
      <c r="AG3" s="368"/>
      <c r="AH3" s="368"/>
      <c r="AI3" s="368"/>
      <c r="AJ3" s="368"/>
      <c r="AK3" s="368"/>
      <c r="AL3" s="357"/>
      <c r="AM3" s="368"/>
      <c r="AO3" s="350"/>
      <c r="AP3" s="350"/>
      <c r="AQ3" s="369"/>
      <c r="AR3" s="350"/>
      <c r="AS3" s="350"/>
      <c r="AT3" s="370"/>
      <c r="AU3" s="137"/>
      <c r="AV3" s="350"/>
      <c r="AW3" s="350"/>
      <c r="AX3" s="350"/>
      <c r="AY3" s="371"/>
      <c r="AZ3" s="371"/>
      <c r="BA3" s="371"/>
      <c r="BB3" s="371"/>
      <c r="BC3" s="372"/>
      <c r="BD3" s="346"/>
      <c r="BE3" s="346"/>
      <c r="BF3" s="346"/>
      <c r="BG3" s="346"/>
      <c r="BH3" s="346"/>
      <c r="BI3" s="346"/>
      <c r="BJ3" s="346"/>
      <c r="BK3" s="346"/>
      <c r="BL3" s="346"/>
      <c r="CF3" s="371"/>
      <c r="CH3" s="373" t="s">
        <v>133</v>
      </c>
      <c r="CI3" s="623" t="s">
        <v>123</v>
      </c>
      <c r="CJ3" s="635"/>
      <c r="CK3" s="623" t="s">
        <v>127</v>
      </c>
      <c r="CL3" s="624"/>
      <c r="CM3" s="644"/>
      <c r="CN3" s="644"/>
      <c r="CO3" s="374"/>
      <c r="CP3" s="374"/>
      <c r="CQ3" s="138"/>
      <c r="CR3" s="138"/>
      <c r="CS3" s="138"/>
      <c r="CT3" s="138"/>
      <c r="EL3" s="137"/>
      <c r="EM3" s="137"/>
      <c r="EN3" s="137"/>
      <c r="EO3" s="137"/>
      <c r="EP3" s="137"/>
      <c r="EQ3" s="137"/>
      <c r="ER3" s="137"/>
      <c r="ES3" s="137"/>
    </row>
    <row r="4" spans="2:149" ht="42.75" customHeight="1" thickBot="1">
      <c r="B4" s="617"/>
      <c r="C4" s="618"/>
      <c r="D4" s="618"/>
      <c r="E4" s="619"/>
      <c r="F4" s="137"/>
      <c r="G4" s="137"/>
      <c r="H4" s="137"/>
      <c r="I4" s="137"/>
      <c r="J4" s="137"/>
      <c r="K4" s="137"/>
      <c r="L4" s="137"/>
      <c r="M4" s="137"/>
      <c r="N4" s="137"/>
      <c r="O4" s="137"/>
      <c r="P4" s="137"/>
      <c r="Q4" s="360" t="s">
        <v>513</v>
      </c>
      <c r="R4" s="118" t="s">
        <v>504</v>
      </c>
      <c r="S4" s="82">
        <v>0.01</v>
      </c>
      <c r="T4" s="118" t="s">
        <v>505</v>
      </c>
      <c r="U4" s="83">
        <v>1</v>
      </c>
      <c r="V4" s="375" t="s">
        <v>506</v>
      </c>
      <c r="W4" s="83">
        <v>60</v>
      </c>
      <c r="X4" s="375" t="s">
        <v>507</v>
      </c>
      <c r="Y4" s="83">
        <v>1.37</v>
      </c>
      <c r="Z4" s="376" t="s">
        <v>508</v>
      </c>
      <c r="AA4" s="261">
        <f>IF(Y3="","VP is missing!",IF(Y3&gt;=10,1,IF(AND(Y3&lt;10,Y3&gt;=1),0.1,IF(AND(Y3&lt;1,Y3&gt;=0.1),0.01,0.001))))</f>
        <v>1</v>
      </c>
      <c r="AB4" s="377" t="s">
        <v>371</v>
      </c>
      <c r="AC4" s="294" t="s">
        <v>432</v>
      </c>
      <c r="AD4" s="378"/>
      <c r="AE4" s="379"/>
      <c r="AF4" s="380"/>
      <c r="AG4" s="368"/>
      <c r="AH4" s="368"/>
      <c r="AI4" s="368"/>
      <c r="AJ4" s="368"/>
      <c r="AK4" s="368"/>
      <c r="AL4" s="368"/>
      <c r="AM4" s="368"/>
      <c r="AO4" s="381"/>
      <c r="AP4" s="350"/>
      <c r="AQ4" s="369"/>
      <c r="AR4" s="350"/>
      <c r="AS4" s="350"/>
      <c r="AT4" s="137"/>
      <c r="AU4" s="382"/>
      <c r="AV4" s="382"/>
      <c r="AW4" s="382"/>
      <c r="AX4" s="382"/>
      <c r="AY4" s="383"/>
      <c r="AZ4" s="383"/>
      <c r="BA4" s="383"/>
      <c r="BB4" s="383"/>
      <c r="BC4" s="384"/>
      <c r="BD4" s="384"/>
      <c r="BE4" s="384"/>
      <c r="BF4" s="384"/>
      <c r="BG4" s="384"/>
      <c r="BH4" s="384"/>
      <c r="BI4" s="384"/>
      <c r="BJ4" s="384"/>
      <c r="BK4" s="384"/>
      <c r="BL4" s="384"/>
      <c r="BM4" s="385"/>
      <c r="BN4" s="386"/>
      <c r="BO4" s="386"/>
      <c r="BP4" s="387"/>
      <c r="BQ4" s="386"/>
      <c r="BR4" s="386"/>
      <c r="BS4" s="386"/>
      <c r="BT4" s="386"/>
      <c r="BU4" s="386"/>
      <c r="BV4" s="386"/>
      <c r="BW4" s="386"/>
      <c r="BX4" s="580"/>
      <c r="BY4" s="583" t="s">
        <v>591</v>
      </c>
      <c r="BZ4" s="600">
        <v>0.9</v>
      </c>
      <c r="CA4" s="581"/>
      <c r="CB4" s="386"/>
      <c r="CC4" s="386"/>
      <c r="CD4" s="386"/>
      <c r="CE4" s="386"/>
      <c r="CF4" s="383"/>
      <c r="CH4" s="373" t="s">
        <v>167</v>
      </c>
      <c r="CI4" s="652" t="s">
        <v>124</v>
      </c>
      <c r="CJ4" s="652"/>
      <c r="CK4" s="636" t="s">
        <v>128</v>
      </c>
      <c r="CL4" s="637"/>
      <c r="CM4" s="645"/>
      <c r="CN4" s="645"/>
      <c r="CO4" s="389"/>
      <c r="CP4" s="389"/>
      <c r="CQ4" s="138"/>
      <c r="CR4" s="138"/>
      <c r="CS4" s="138"/>
      <c r="CT4" s="138"/>
      <c r="EL4" s="137"/>
      <c r="EM4" s="137"/>
      <c r="EN4" s="137"/>
      <c r="EO4" s="137"/>
      <c r="EP4" s="137"/>
      <c r="EQ4" s="137"/>
      <c r="ER4" s="137"/>
      <c r="ES4" s="137"/>
    </row>
    <row r="5" spans="2:202" ht="47.25" customHeight="1" thickBot="1">
      <c r="B5" s="620"/>
      <c r="C5" s="621"/>
      <c r="D5" s="621"/>
      <c r="E5" s="622"/>
      <c r="F5" s="390"/>
      <c r="G5" s="390"/>
      <c r="H5" s="390"/>
      <c r="I5" s="390"/>
      <c r="J5" s="390"/>
      <c r="K5" s="390"/>
      <c r="L5" s="390"/>
      <c r="M5" s="390"/>
      <c r="N5" s="390"/>
      <c r="O5" s="390"/>
      <c r="P5" s="390"/>
      <c r="Q5" s="391" t="s">
        <v>512</v>
      </c>
      <c r="R5" s="392" t="s">
        <v>208</v>
      </c>
      <c r="S5" s="295">
        <v>20</v>
      </c>
      <c r="T5" s="393" t="s">
        <v>509</v>
      </c>
      <c r="U5" s="296"/>
      <c r="V5" s="392" t="s">
        <v>209</v>
      </c>
      <c r="W5" s="295">
        <v>20</v>
      </c>
      <c r="X5" s="393" t="s">
        <v>369</v>
      </c>
      <c r="Y5" s="296"/>
      <c r="Z5" s="392" t="s">
        <v>210</v>
      </c>
      <c r="AA5" s="295">
        <v>70</v>
      </c>
      <c r="AB5" s="393" t="s">
        <v>510</v>
      </c>
      <c r="AC5" s="84"/>
      <c r="AD5" s="357"/>
      <c r="AE5" s="366"/>
      <c r="AF5" s="350"/>
      <c r="AG5" s="350"/>
      <c r="AH5" s="350"/>
      <c r="AI5" s="350"/>
      <c r="AJ5" s="350"/>
      <c r="AK5" s="350"/>
      <c r="AL5" s="350"/>
      <c r="AM5" s="350"/>
      <c r="AN5" s="350"/>
      <c r="AO5" s="381"/>
      <c r="AP5" s="350"/>
      <c r="AQ5" s="369"/>
      <c r="AR5" s="350"/>
      <c r="AS5" s="350"/>
      <c r="AT5" s="346"/>
      <c r="AU5" s="394"/>
      <c r="AV5" s="395"/>
      <c r="AW5" s="394"/>
      <c r="AX5" s="394"/>
      <c r="AY5" s="394"/>
      <c r="AZ5" s="394"/>
      <c r="BA5" s="394"/>
      <c r="BB5" s="394"/>
      <c r="BC5" s="394"/>
      <c r="BD5" s="396"/>
      <c r="BE5" s="396"/>
      <c r="BF5" s="396"/>
      <c r="BG5" s="396"/>
      <c r="BH5" s="396"/>
      <c r="BI5" s="396"/>
      <c r="BJ5" s="396"/>
      <c r="BK5" s="397"/>
      <c r="BL5" s="397"/>
      <c r="BM5" s="397"/>
      <c r="BN5" s="398"/>
      <c r="BO5" s="397"/>
      <c r="BP5" s="397"/>
      <c r="BQ5" s="395"/>
      <c r="BR5" s="395"/>
      <c r="BS5" s="395"/>
      <c r="BT5" s="395"/>
      <c r="BU5" s="395"/>
      <c r="BV5" s="395"/>
      <c r="BW5" s="395"/>
      <c r="BX5" s="395"/>
      <c r="BY5" s="582"/>
      <c r="BZ5" s="582"/>
      <c r="CA5" s="395"/>
      <c r="CB5" s="395"/>
      <c r="CC5" s="395"/>
      <c r="CD5" s="395"/>
      <c r="CE5" s="395"/>
      <c r="CF5" s="395"/>
      <c r="CH5" s="373" t="s">
        <v>132</v>
      </c>
      <c r="CI5" s="636" t="s">
        <v>125</v>
      </c>
      <c r="CJ5" s="636"/>
      <c r="CK5" s="636" t="s">
        <v>129</v>
      </c>
      <c r="CL5" s="637"/>
      <c r="CM5" s="645"/>
      <c r="CN5" s="645"/>
      <c r="CO5" s="399"/>
      <c r="CP5" s="389"/>
      <c r="CQ5" s="138"/>
      <c r="CR5" s="137"/>
      <c r="CS5" s="137"/>
      <c r="CT5" s="138"/>
      <c r="EL5" s="400"/>
      <c r="EM5" s="400"/>
      <c r="EN5" s="400"/>
      <c r="EO5" s="400"/>
      <c r="EP5" s="400"/>
      <c r="EQ5" s="400"/>
      <c r="ER5" s="400"/>
      <c r="ES5" s="400"/>
      <c r="ET5" s="138"/>
      <c r="EU5" s="138"/>
      <c r="EV5" s="138"/>
      <c r="EW5" s="138"/>
      <c r="EX5" s="138"/>
      <c r="EY5" s="138"/>
      <c r="EZ5" s="138"/>
      <c r="FA5" s="138"/>
      <c r="FC5" s="138"/>
      <c r="FD5" s="138"/>
      <c r="FN5" s="138"/>
      <c r="FO5" s="138"/>
      <c r="FP5" s="138"/>
      <c r="FQ5" s="138"/>
      <c r="FR5" s="138"/>
      <c r="FS5" s="138"/>
      <c r="FT5" s="138"/>
      <c r="FU5" s="138"/>
      <c r="FV5" s="138"/>
      <c r="FW5" s="138"/>
      <c r="FX5" s="138"/>
      <c r="FY5" s="138"/>
      <c r="FZ5" s="138"/>
      <c r="GA5" s="138"/>
      <c r="GB5" s="138"/>
      <c r="GC5" s="138"/>
      <c r="GE5" s="138"/>
      <c r="GF5" s="138"/>
      <c r="GP5" s="138"/>
      <c r="GQ5" s="138"/>
      <c r="GR5" s="138"/>
      <c r="GS5" s="138"/>
      <c r="GT5" s="138"/>
    </row>
    <row r="6" spans="2:202" ht="17.25" customHeight="1" thickBot="1">
      <c r="B6" s="401"/>
      <c r="C6" s="401"/>
      <c r="D6" s="401"/>
      <c r="E6" s="401"/>
      <c r="F6" s="402"/>
      <c r="G6" s="402"/>
      <c r="H6" s="402"/>
      <c r="I6" s="402"/>
      <c r="J6" s="402"/>
      <c r="K6" s="402"/>
      <c r="L6" s="402"/>
      <c r="M6" s="402"/>
      <c r="N6" s="402"/>
      <c r="O6" s="402"/>
      <c r="P6" s="402"/>
      <c r="Q6" s="403"/>
      <c r="R6" s="404"/>
      <c r="S6" s="405"/>
      <c r="T6" s="404"/>
      <c r="U6" s="406"/>
      <c r="V6" s="404"/>
      <c r="W6" s="405"/>
      <c r="X6" s="404"/>
      <c r="Y6" s="406"/>
      <c r="Z6" s="404"/>
      <c r="AA6" s="405"/>
      <c r="AB6" s="404"/>
      <c r="AC6" s="406"/>
      <c r="AE6" s="347"/>
      <c r="AF6" s="350"/>
      <c r="AG6" s="350"/>
      <c r="AH6" s="350"/>
      <c r="AI6" s="350"/>
      <c r="AJ6" s="350"/>
      <c r="AK6" s="350"/>
      <c r="AL6" s="350"/>
      <c r="AM6" s="350"/>
      <c r="AN6" s="350"/>
      <c r="AO6" s="381"/>
      <c r="AP6" s="350"/>
      <c r="AQ6" s="369"/>
      <c r="AR6" s="350"/>
      <c r="AS6" s="350"/>
      <c r="AT6" s="346"/>
      <c r="AU6" s="357"/>
      <c r="AV6" s="407"/>
      <c r="AW6" s="357"/>
      <c r="AX6" s="357"/>
      <c r="AY6" s="357"/>
      <c r="AZ6" s="357"/>
      <c r="BA6" s="357"/>
      <c r="BB6" s="357"/>
      <c r="BC6" s="357"/>
      <c r="BD6" s="408"/>
      <c r="BE6" s="408"/>
      <c r="BF6" s="408"/>
      <c r="BG6" s="408"/>
      <c r="BH6" s="408"/>
      <c r="BI6" s="408"/>
      <c r="BJ6" s="408"/>
      <c r="BK6" s="409"/>
      <c r="BL6" s="409"/>
      <c r="BM6" s="409"/>
      <c r="BN6" s="409"/>
      <c r="BO6" s="409"/>
      <c r="BP6" s="409"/>
      <c r="BQ6" s="407"/>
      <c r="BR6" s="407"/>
      <c r="BS6" s="407"/>
      <c r="BT6" s="407"/>
      <c r="BU6" s="407"/>
      <c r="BV6" s="407"/>
      <c r="BW6" s="407"/>
      <c r="BX6" s="407"/>
      <c r="BY6" s="407"/>
      <c r="BZ6" s="407"/>
      <c r="CA6" s="407"/>
      <c r="CB6" s="407"/>
      <c r="CC6" s="407"/>
      <c r="CD6" s="407"/>
      <c r="CE6" s="407"/>
      <c r="CF6" s="407"/>
      <c r="CH6" s="648" t="s">
        <v>323</v>
      </c>
      <c r="CI6" s="653" t="s">
        <v>126</v>
      </c>
      <c r="CJ6" s="667"/>
      <c r="CK6" s="653" t="s">
        <v>130</v>
      </c>
      <c r="CL6" s="654"/>
      <c r="CM6" s="388"/>
      <c r="CN6" s="388"/>
      <c r="CO6" s="399"/>
      <c r="CP6" s="586"/>
      <c r="CQ6" s="588"/>
      <c r="CR6" s="137"/>
      <c r="CS6" s="137"/>
      <c r="CT6" s="138"/>
      <c r="EL6" s="400"/>
      <c r="EM6" s="400"/>
      <c r="EN6" s="400"/>
      <c r="EO6" s="400"/>
      <c r="EP6" s="400"/>
      <c r="EQ6" s="400"/>
      <c r="ER6" s="400"/>
      <c r="ES6" s="400"/>
      <c r="ET6" s="138"/>
      <c r="EU6" s="138"/>
      <c r="EV6" s="138"/>
      <c r="EW6" s="138"/>
      <c r="EX6" s="138"/>
      <c r="EY6" s="138"/>
      <c r="EZ6" s="138"/>
      <c r="FA6" s="138"/>
      <c r="FC6" s="138"/>
      <c r="FD6" s="138"/>
      <c r="FN6" s="138"/>
      <c r="FO6" s="138"/>
      <c r="FP6" s="138"/>
      <c r="FQ6" s="138"/>
      <c r="FR6" s="138"/>
      <c r="FS6" s="138"/>
      <c r="FT6" s="138"/>
      <c r="FU6" s="138"/>
      <c r="FV6" s="138"/>
      <c r="FW6" s="138"/>
      <c r="FX6" s="138"/>
      <c r="FY6" s="138"/>
      <c r="FZ6" s="138"/>
      <c r="GA6" s="138"/>
      <c r="GB6" s="138"/>
      <c r="GC6" s="138"/>
      <c r="GE6" s="138"/>
      <c r="GF6" s="138"/>
      <c r="GP6" s="138"/>
      <c r="GQ6" s="138"/>
      <c r="GR6" s="138"/>
      <c r="GS6" s="138"/>
      <c r="GT6" s="138"/>
    </row>
    <row r="7" spans="2:98" ht="15" customHeight="1" thickBot="1">
      <c r="B7" s="410"/>
      <c r="C7" s="411"/>
      <c r="D7" s="630"/>
      <c r="E7" s="630"/>
      <c r="F7" s="630"/>
      <c r="G7" s="630"/>
      <c r="H7" s="630"/>
      <c r="I7" s="630"/>
      <c r="J7" s="630"/>
      <c r="K7" s="630"/>
      <c r="L7" s="630"/>
      <c r="M7" s="630"/>
      <c r="N7" s="412"/>
      <c r="O7" s="412"/>
      <c r="P7" s="412"/>
      <c r="Q7" s="412"/>
      <c r="R7" s="412"/>
      <c r="S7" s="412"/>
      <c r="T7" s="412"/>
      <c r="U7" s="412"/>
      <c r="V7" s="412"/>
      <c r="W7" s="412"/>
      <c r="X7" s="412"/>
      <c r="Y7" s="412"/>
      <c r="Z7" s="412"/>
      <c r="AA7" s="412"/>
      <c r="AB7" s="412"/>
      <c r="AC7" s="412"/>
      <c r="AD7" s="413"/>
      <c r="AE7" s="413"/>
      <c r="AF7" s="413"/>
      <c r="AG7" s="413"/>
      <c r="AH7" s="413"/>
      <c r="AI7" s="413"/>
      <c r="AJ7" s="413"/>
      <c r="AK7" s="413"/>
      <c r="AL7" s="413"/>
      <c r="AM7" s="413"/>
      <c r="AN7" s="413"/>
      <c r="AO7" s="413"/>
      <c r="AP7" s="413"/>
      <c r="AQ7" s="414"/>
      <c r="AR7" s="413"/>
      <c r="AS7" s="413"/>
      <c r="AT7" s="413"/>
      <c r="AU7" s="413"/>
      <c r="AV7" s="413"/>
      <c r="AW7" s="413"/>
      <c r="AX7" s="413"/>
      <c r="AY7" s="413"/>
      <c r="AZ7" s="413"/>
      <c r="BA7" s="413"/>
      <c r="BB7" s="413"/>
      <c r="BC7" s="413"/>
      <c r="BD7" s="413"/>
      <c r="BE7" s="413"/>
      <c r="BF7" s="415"/>
      <c r="BG7" s="415"/>
      <c r="BH7" s="415"/>
      <c r="BI7" s="415"/>
      <c r="BJ7" s="415"/>
      <c r="BK7" s="413"/>
      <c r="BL7" s="413"/>
      <c r="BM7" s="413"/>
      <c r="BN7" s="416"/>
      <c r="BO7" s="416"/>
      <c r="BP7" s="416"/>
      <c r="BQ7" s="416"/>
      <c r="BR7" s="416"/>
      <c r="BS7" s="416"/>
      <c r="BT7" s="416"/>
      <c r="BU7" s="416"/>
      <c r="BV7" s="416"/>
      <c r="BW7" s="416"/>
      <c r="BX7" s="416"/>
      <c r="BY7" s="416"/>
      <c r="BZ7" s="416"/>
      <c r="CA7" s="416"/>
      <c r="CB7" s="416"/>
      <c r="CC7" s="416"/>
      <c r="CD7" s="416"/>
      <c r="CE7" s="417"/>
      <c r="CF7" s="418"/>
      <c r="CH7" s="649"/>
      <c r="CI7" s="655"/>
      <c r="CJ7" s="668"/>
      <c r="CK7" s="655"/>
      <c r="CL7" s="656"/>
      <c r="CM7" s="645"/>
      <c r="CN7" s="645"/>
      <c r="CO7" s="389"/>
      <c r="CP7" s="587"/>
      <c r="CQ7" s="588"/>
      <c r="CR7" s="137"/>
      <c r="CS7" s="137"/>
      <c r="CT7" s="137"/>
    </row>
    <row r="8" spans="2:96" ht="32.25" customHeight="1" thickBot="1">
      <c r="B8" s="419" t="s">
        <v>372</v>
      </c>
      <c r="C8" s="420"/>
      <c r="D8" s="420"/>
      <c r="E8" s="421"/>
      <c r="F8" s="422" t="s">
        <v>574</v>
      </c>
      <c r="G8" s="423"/>
      <c r="H8" s="423"/>
      <c r="I8" s="423"/>
      <c r="J8" s="423"/>
      <c r="K8" s="423"/>
      <c r="L8" s="423"/>
      <c r="M8" s="423"/>
      <c r="N8" s="423"/>
      <c r="O8" s="423"/>
      <c r="P8" s="423"/>
      <c r="Q8" s="423"/>
      <c r="R8" s="423"/>
      <c r="S8" s="423"/>
      <c r="T8" s="423"/>
      <c r="U8" s="423"/>
      <c r="V8" s="423"/>
      <c r="W8" s="423"/>
      <c r="X8" s="423"/>
      <c r="Y8" s="423"/>
      <c r="Z8" s="423"/>
      <c r="AA8" s="423"/>
      <c r="AB8" s="424" t="s">
        <v>373</v>
      </c>
      <c r="AC8" s="425"/>
      <c r="AD8" s="425"/>
      <c r="AE8" s="425"/>
      <c r="AF8" s="425"/>
      <c r="AG8" s="425"/>
      <c r="AH8" s="425"/>
      <c r="AI8" s="425"/>
      <c r="AJ8" s="425"/>
      <c r="AK8" s="425"/>
      <c r="AL8" s="425"/>
      <c r="AM8" s="425"/>
      <c r="AN8" s="425"/>
      <c r="AO8" s="425"/>
      <c r="AP8" s="425"/>
      <c r="AQ8" s="426"/>
      <c r="AR8" s="425"/>
      <c r="AS8" s="425"/>
      <c r="AT8" s="425"/>
      <c r="AU8" s="425"/>
      <c r="AV8" s="425"/>
      <c r="AW8" s="425"/>
      <c r="AX8" s="425"/>
      <c r="AY8" s="425"/>
      <c r="AZ8" s="425"/>
      <c r="BA8" s="425"/>
      <c r="BB8" s="425"/>
      <c r="BC8" s="425"/>
      <c r="BD8" s="425"/>
      <c r="BE8" s="425"/>
      <c r="BF8" s="425"/>
      <c r="BG8" s="425"/>
      <c r="BH8" s="425"/>
      <c r="BI8" s="425"/>
      <c r="BJ8" s="425"/>
      <c r="BK8" s="425"/>
      <c r="BL8" s="425"/>
      <c r="BM8" s="425"/>
      <c r="BN8" s="425"/>
      <c r="BO8" s="425"/>
      <c r="BP8" s="425"/>
      <c r="BQ8" s="427"/>
      <c r="BR8" s="427"/>
      <c r="BS8" s="427"/>
      <c r="BT8" s="427"/>
      <c r="BU8" s="427"/>
      <c r="BV8" s="427"/>
      <c r="BW8" s="428"/>
      <c r="BX8" s="427"/>
      <c r="BY8" s="429"/>
      <c r="BZ8" s="429"/>
      <c r="CA8" s="429"/>
      <c r="CB8" s="429"/>
      <c r="CC8" s="429"/>
      <c r="CD8" s="429"/>
      <c r="CE8" s="430"/>
      <c r="CF8" s="431"/>
      <c r="CH8" s="388"/>
      <c r="CI8" s="432"/>
      <c r="CJ8" s="432"/>
      <c r="CK8" s="432"/>
      <c r="CL8" s="432"/>
      <c r="CM8" s="645"/>
      <c r="CN8" s="645"/>
      <c r="CO8" s="389"/>
      <c r="CP8" s="585"/>
      <c r="CR8" s="369"/>
    </row>
    <row r="9" spans="2:202" ht="19.5" customHeight="1" thickBot="1">
      <c r="B9" s="433"/>
      <c r="C9" s="434"/>
      <c r="D9" s="434"/>
      <c r="E9" s="435"/>
      <c r="F9" s="436" t="s">
        <v>417</v>
      </c>
      <c r="G9" s="437" t="s">
        <v>417</v>
      </c>
      <c r="H9" s="437"/>
      <c r="I9" s="437"/>
      <c r="J9" s="437"/>
      <c r="K9" s="437" t="s">
        <v>417</v>
      </c>
      <c r="L9" s="438" t="s">
        <v>418</v>
      </c>
      <c r="M9" s="438" t="s">
        <v>419</v>
      </c>
      <c r="N9" s="438" t="s">
        <v>420</v>
      </c>
      <c r="O9" s="438" t="s">
        <v>420</v>
      </c>
      <c r="P9" s="438" t="s">
        <v>420</v>
      </c>
      <c r="Q9" s="439"/>
      <c r="R9" s="439"/>
      <c r="S9" s="439"/>
      <c r="T9" s="439"/>
      <c r="U9" s="439"/>
      <c r="V9" s="439"/>
      <c r="W9" s="439"/>
      <c r="X9" s="439"/>
      <c r="Y9" s="439"/>
      <c r="Z9" s="439"/>
      <c r="AA9" s="439"/>
      <c r="AB9" s="436" t="s">
        <v>417</v>
      </c>
      <c r="AC9" s="437"/>
      <c r="AD9" s="437" t="s">
        <v>417</v>
      </c>
      <c r="AE9" s="437"/>
      <c r="AF9" s="438" t="s">
        <v>455</v>
      </c>
      <c r="AG9" s="438"/>
      <c r="AH9" s="438" t="s">
        <v>455</v>
      </c>
      <c r="AI9" s="438"/>
      <c r="AJ9" s="438" t="s">
        <v>455</v>
      </c>
      <c r="AK9" s="438"/>
      <c r="AL9" s="438" t="s">
        <v>455</v>
      </c>
      <c r="AM9" s="438" t="s">
        <v>456</v>
      </c>
      <c r="AN9" s="438"/>
      <c r="AO9" s="438" t="s">
        <v>457</v>
      </c>
      <c r="AP9" s="438"/>
      <c r="AQ9" s="438" t="s">
        <v>457</v>
      </c>
      <c r="AR9" s="438"/>
      <c r="AS9" s="438" t="s">
        <v>457</v>
      </c>
      <c r="AT9" s="440" t="s">
        <v>457</v>
      </c>
      <c r="AU9" s="440"/>
      <c r="AV9" s="438" t="s">
        <v>457</v>
      </c>
      <c r="AW9" s="440" t="s">
        <v>457</v>
      </c>
      <c r="AX9" s="440"/>
      <c r="AY9" s="440" t="s">
        <v>457</v>
      </c>
      <c r="AZ9" s="438"/>
      <c r="BA9" s="672" t="s">
        <v>455</v>
      </c>
      <c r="BB9" s="632"/>
      <c r="BC9" s="634"/>
      <c r="BD9" s="631" t="s">
        <v>456</v>
      </c>
      <c r="BE9" s="634"/>
      <c r="BF9" s="631" t="s">
        <v>457</v>
      </c>
      <c r="BG9" s="632"/>
      <c r="BH9" s="632"/>
      <c r="BI9" s="632"/>
      <c r="BJ9" s="632"/>
      <c r="BK9" s="633"/>
      <c r="BL9" s="625" t="s">
        <v>192</v>
      </c>
      <c r="BM9" s="626"/>
      <c r="BN9" s="627" t="s">
        <v>190</v>
      </c>
      <c r="BO9" s="628"/>
      <c r="BP9" s="628"/>
      <c r="BQ9" s="629"/>
      <c r="BR9" s="669" t="s">
        <v>189</v>
      </c>
      <c r="BS9" s="670"/>
      <c r="BT9" s="670"/>
      <c r="BU9" s="671"/>
      <c r="BV9" s="441"/>
      <c r="BW9" s="442"/>
      <c r="BX9" s="441"/>
      <c r="BY9" s="638"/>
      <c r="BZ9" s="638"/>
      <c r="CA9" s="638"/>
      <c r="CB9" s="638"/>
      <c r="CC9" s="638"/>
      <c r="CD9" s="638"/>
      <c r="CE9" s="639"/>
      <c r="CF9" s="443"/>
      <c r="CP9" s="643" t="s">
        <v>119</v>
      </c>
      <c r="CQ9" s="641"/>
      <c r="CR9" s="641"/>
      <c r="CS9" s="641"/>
      <c r="CT9" s="641"/>
      <c r="CU9" s="641"/>
      <c r="CV9" s="641"/>
      <c r="CW9" s="641"/>
      <c r="CX9" s="641"/>
      <c r="CY9" s="641"/>
      <c r="CZ9" s="641"/>
      <c r="DA9" s="641"/>
      <c r="DB9" s="642"/>
      <c r="DC9" s="409"/>
      <c r="DD9" s="409"/>
      <c r="DE9" s="409"/>
      <c r="DF9" s="409"/>
      <c r="DG9" s="409"/>
      <c r="DH9" s="409"/>
      <c r="DI9" s="409"/>
      <c r="DJ9" s="409"/>
      <c r="DK9" s="409"/>
      <c r="DL9" s="409"/>
      <c r="DM9" s="409"/>
      <c r="DN9" s="409"/>
      <c r="DO9" s="445"/>
      <c r="DP9" s="445"/>
      <c r="DQ9" s="445"/>
      <c r="DR9" s="640" t="s">
        <v>120</v>
      </c>
      <c r="DS9" s="641"/>
      <c r="DT9" s="641"/>
      <c r="DU9" s="641"/>
      <c r="DV9" s="641"/>
      <c r="DW9" s="641"/>
      <c r="DX9" s="641"/>
      <c r="DY9" s="641"/>
      <c r="DZ9" s="641"/>
      <c r="EA9" s="641"/>
      <c r="EB9" s="641"/>
      <c r="EC9" s="641"/>
      <c r="ED9" s="642"/>
      <c r="EE9" s="409"/>
      <c r="EF9" s="409"/>
      <c r="EG9" s="409"/>
      <c r="EH9" s="409"/>
      <c r="EI9" s="409"/>
      <c r="EJ9" s="409"/>
      <c r="EK9" s="409"/>
      <c r="EL9" s="409"/>
      <c r="EM9" s="409"/>
      <c r="EN9" s="409"/>
      <c r="EO9" s="409"/>
      <c r="EP9" s="409"/>
      <c r="EQ9" s="445"/>
      <c r="ER9" s="445"/>
      <c r="ES9" s="445"/>
      <c r="ET9" s="640" t="s">
        <v>121</v>
      </c>
      <c r="EU9" s="641"/>
      <c r="EV9" s="641"/>
      <c r="EW9" s="641"/>
      <c r="EX9" s="641"/>
      <c r="EY9" s="641"/>
      <c r="EZ9" s="641"/>
      <c r="FA9" s="641"/>
      <c r="FB9" s="641"/>
      <c r="FC9" s="641"/>
      <c r="FD9" s="641"/>
      <c r="FE9" s="641"/>
      <c r="FF9" s="642"/>
      <c r="FG9" s="445"/>
      <c r="FH9" s="445"/>
      <c r="FI9" s="445"/>
      <c r="FJ9" s="445"/>
      <c r="FK9" s="445"/>
      <c r="FL9" s="445"/>
      <c r="FM9" s="445"/>
      <c r="FN9" s="445"/>
      <c r="FO9" s="409"/>
      <c r="FP9" s="409"/>
      <c r="FQ9" s="409"/>
      <c r="FR9" s="409"/>
      <c r="FS9" s="445"/>
      <c r="FT9" s="445"/>
      <c r="FU9" s="445"/>
      <c r="FV9" s="640" t="s">
        <v>122</v>
      </c>
      <c r="FW9" s="641"/>
      <c r="FX9" s="641"/>
      <c r="FY9" s="641"/>
      <c r="FZ9" s="641"/>
      <c r="GA9" s="641"/>
      <c r="GB9" s="641"/>
      <c r="GC9" s="641"/>
      <c r="GD9" s="641"/>
      <c r="GE9" s="641"/>
      <c r="GF9" s="641"/>
      <c r="GG9" s="641"/>
      <c r="GH9" s="642"/>
      <c r="GI9" s="445"/>
      <c r="GJ9" s="445"/>
      <c r="GK9" s="445"/>
      <c r="GL9" s="445"/>
      <c r="GM9" s="445"/>
      <c r="GN9" s="445"/>
      <c r="GO9" s="445"/>
      <c r="GP9" s="445"/>
      <c r="GQ9" s="445"/>
      <c r="GR9" s="445"/>
      <c r="GS9" s="445"/>
      <c r="GT9" s="445"/>
    </row>
    <row r="10" spans="1:203" ht="56.25" customHeight="1" thickBot="1">
      <c r="A10" s="447"/>
      <c r="B10" s="689" t="s">
        <v>391</v>
      </c>
      <c r="C10" s="690"/>
      <c r="D10" s="448" t="s">
        <v>374</v>
      </c>
      <c r="E10" s="449" t="s">
        <v>375</v>
      </c>
      <c r="F10" s="691" t="s">
        <v>376</v>
      </c>
      <c r="G10" s="697" t="s">
        <v>416</v>
      </c>
      <c r="H10" s="698"/>
      <c r="I10" s="699"/>
      <c r="J10" s="450"/>
      <c r="K10" s="693" t="s">
        <v>421</v>
      </c>
      <c r="L10" s="693" t="s">
        <v>377</v>
      </c>
      <c r="M10" s="679" t="s">
        <v>378</v>
      </c>
      <c r="N10" s="679" t="s">
        <v>379</v>
      </c>
      <c r="O10" s="693" t="s">
        <v>489</v>
      </c>
      <c r="P10" s="693" t="s">
        <v>490</v>
      </c>
      <c r="Q10" s="703" t="s">
        <v>166</v>
      </c>
      <c r="R10" s="704"/>
      <c r="S10" s="704"/>
      <c r="T10" s="704"/>
      <c r="U10" s="704"/>
      <c r="V10" s="705"/>
      <c r="W10" s="694" t="s">
        <v>380</v>
      </c>
      <c r="X10" s="695"/>
      <c r="Y10" s="695"/>
      <c r="Z10" s="695"/>
      <c r="AA10" s="696"/>
      <c r="AB10" s="662" t="s">
        <v>666</v>
      </c>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3"/>
      <c r="AZ10" s="664"/>
      <c r="BA10" s="662" t="s">
        <v>173</v>
      </c>
      <c r="BB10" s="663"/>
      <c r="BC10" s="663"/>
      <c r="BD10" s="663"/>
      <c r="BE10" s="663"/>
      <c r="BF10" s="663"/>
      <c r="BG10" s="663"/>
      <c r="BH10" s="663"/>
      <c r="BI10" s="663"/>
      <c r="BJ10" s="663"/>
      <c r="BK10" s="664"/>
      <c r="BL10" s="659" t="s">
        <v>174</v>
      </c>
      <c r="BM10" s="660"/>
      <c r="BN10" s="660"/>
      <c r="BO10" s="660"/>
      <c r="BP10" s="660"/>
      <c r="BQ10" s="660"/>
      <c r="BR10" s="660"/>
      <c r="BS10" s="660"/>
      <c r="BT10" s="660"/>
      <c r="BU10" s="661"/>
      <c r="BV10" s="451" t="s">
        <v>113</v>
      </c>
      <c r="BW10" s="452" t="s">
        <v>501</v>
      </c>
      <c r="BX10" s="453"/>
      <c r="BY10" s="646" t="s">
        <v>171</v>
      </c>
      <c r="BZ10" s="647"/>
      <c r="CA10" s="647"/>
      <c r="CB10" s="647"/>
      <c r="CC10" s="673" t="s">
        <v>204</v>
      </c>
      <c r="CD10" s="674"/>
      <c r="CE10" s="675"/>
      <c r="CF10" s="454"/>
      <c r="CG10" s="455"/>
      <c r="CH10" s="456"/>
      <c r="CI10" s="676" t="s">
        <v>203</v>
      </c>
      <c r="CJ10" s="677"/>
      <c r="CK10" s="678"/>
      <c r="CL10" s="457"/>
      <c r="CM10" s="458" t="s">
        <v>455</v>
      </c>
      <c r="CN10" s="458" t="s">
        <v>456</v>
      </c>
      <c r="CO10" s="458" t="s">
        <v>457</v>
      </c>
      <c r="CP10" s="459" t="s">
        <v>66</v>
      </c>
      <c r="CQ10" s="460"/>
      <c r="CR10" s="459" t="s">
        <v>235</v>
      </c>
      <c r="CS10" s="458"/>
      <c r="CT10" s="459" t="s">
        <v>236</v>
      </c>
      <c r="CU10" s="460"/>
      <c r="CV10" s="459" t="s">
        <v>237</v>
      </c>
      <c r="CW10" s="460"/>
      <c r="CX10" s="458"/>
      <c r="CY10" s="459" t="s">
        <v>43</v>
      </c>
      <c r="CZ10" s="460"/>
      <c r="DA10" s="459" t="s">
        <v>42</v>
      </c>
      <c r="DB10" s="460"/>
      <c r="DC10" s="457" t="s">
        <v>455</v>
      </c>
      <c r="DD10" s="457" t="s">
        <v>456</v>
      </c>
      <c r="DE10" s="457" t="s">
        <v>457</v>
      </c>
      <c r="DF10" s="457" t="s">
        <v>455</v>
      </c>
      <c r="DG10" s="457" t="s">
        <v>456</v>
      </c>
      <c r="DH10" s="457" t="s">
        <v>457</v>
      </c>
      <c r="DI10" s="457"/>
      <c r="DJ10" s="458" t="s">
        <v>455</v>
      </c>
      <c r="DK10" s="458" t="s">
        <v>456</v>
      </c>
      <c r="DL10" s="458" t="s">
        <v>457</v>
      </c>
      <c r="DM10" s="458"/>
      <c r="DN10" s="458"/>
      <c r="DO10" s="458" t="s">
        <v>455</v>
      </c>
      <c r="DP10" s="458" t="s">
        <v>456</v>
      </c>
      <c r="DQ10" s="458" t="s">
        <v>457</v>
      </c>
      <c r="DR10" s="459" t="s">
        <v>66</v>
      </c>
      <c r="DS10" s="460"/>
      <c r="DT10" s="459" t="s">
        <v>235</v>
      </c>
      <c r="DU10" s="458"/>
      <c r="DV10" s="459" t="s">
        <v>236</v>
      </c>
      <c r="DW10" s="460"/>
      <c r="DX10" s="459" t="s">
        <v>237</v>
      </c>
      <c r="DY10" s="460"/>
      <c r="DZ10" s="458"/>
      <c r="EA10" s="459" t="s">
        <v>43</v>
      </c>
      <c r="EB10" s="460"/>
      <c r="EC10" s="459" t="s">
        <v>42</v>
      </c>
      <c r="ED10" s="460"/>
      <c r="EE10" s="457" t="s">
        <v>455</v>
      </c>
      <c r="EF10" s="457" t="s">
        <v>456</v>
      </c>
      <c r="EG10" s="457" t="s">
        <v>457</v>
      </c>
      <c r="EH10" s="457" t="s">
        <v>455</v>
      </c>
      <c r="EI10" s="457" t="s">
        <v>456</v>
      </c>
      <c r="EJ10" s="457" t="s">
        <v>457</v>
      </c>
      <c r="EK10" s="457"/>
      <c r="EL10" s="458" t="s">
        <v>455</v>
      </c>
      <c r="EM10" s="458" t="s">
        <v>456</v>
      </c>
      <c r="EN10" s="458" t="s">
        <v>457</v>
      </c>
      <c r="EO10" s="458"/>
      <c r="EP10" s="461"/>
      <c r="EQ10" s="458" t="s">
        <v>455</v>
      </c>
      <c r="ER10" s="458" t="s">
        <v>456</v>
      </c>
      <c r="ES10" s="458" t="s">
        <v>457</v>
      </c>
      <c r="ET10" s="459" t="s">
        <v>66</v>
      </c>
      <c r="EU10" s="460"/>
      <c r="EV10" s="459" t="s">
        <v>235</v>
      </c>
      <c r="EW10" s="458"/>
      <c r="EX10" s="459" t="s">
        <v>236</v>
      </c>
      <c r="EY10" s="460"/>
      <c r="EZ10" s="459" t="s">
        <v>237</v>
      </c>
      <c r="FA10" s="460"/>
      <c r="FB10" s="458"/>
      <c r="FC10" s="459" t="s">
        <v>43</v>
      </c>
      <c r="FD10" s="460"/>
      <c r="FE10" s="459" t="s">
        <v>42</v>
      </c>
      <c r="FF10" s="460"/>
      <c r="FG10" s="457" t="s">
        <v>455</v>
      </c>
      <c r="FH10" s="457" t="s">
        <v>456</v>
      </c>
      <c r="FI10" s="457" t="s">
        <v>457</v>
      </c>
      <c r="FJ10" s="457" t="s">
        <v>455</v>
      </c>
      <c r="FK10" s="457" t="s">
        <v>456</v>
      </c>
      <c r="FL10" s="457" t="s">
        <v>457</v>
      </c>
      <c r="FM10" s="457"/>
      <c r="FN10" s="458" t="s">
        <v>455</v>
      </c>
      <c r="FO10" s="458" t="s">
        <v>456</v>
      </c>
      <c r="FP10" s="458" t="s">
        <v>457</v>
      </c>
      <c r="FQ10" s="458"/>
      <c r="FR10" s="461"/>
      <c r="FS10" s="458" t="s">
        <v>455</v>
      </c>
      <c r="FT10" s="458" t="s">
        <v>456</v>
      </c>
      <c r="FU10" s="458" t="s">
        <v>457</v>
      </c>
      <c r="FV10" s="459" t="s">
        <v>66</v>
      </c>
      <c r="FW10" s="460"/>
      <c r="FX10" s="459" t="s">
        <v>235</v>
      </c>
      <c r="FY10" s="458"/>
      <c r="FZ10" s="459" t="s">
        <v>236</v>
      </c>
      <c r="GA10" s="460"/>
      <c r="GB10" s="459" t="s">
        <v>237</v>
      </c>
      <c r="GC10" s="460"/>
      <c r="GD10" s="458"/>
      <c r="GE10" s="459" t="s">
        <v>43</v>
      </c>
      <c r="GF10" s="460"/>
      <c r="GG10" s="459" t="s">
        <v>42</v>
      </c>
      <c r="GH10" s="460"/>
      <c r="GI10" s="457" t="s">
        <v>455</v>
      </c>
      <c r="GJ10" s="457" t="s">
        <v>456</v>
      </c>
      <c r="GK10" s="457" t="s">
        <v>457</v>
      </c>
      <c r="GL10" s="457" t="s">
        <v>455</v>
      </c>
      <c r="GM10" s="457" t="s">
        <v>456</v>
      </c>
      <c r="GN10" s="457" t="s">
        <v>457</v>
      </c>
      <c r="GO10" s="457"/>
      <c r="GP10" s="458" t="s">
        <v>455</v>
      </c>
      <c r="GQ10" s="458" t="s">
        <v>456</v>
      </c>
      <c r="GR10" s="458" t="s">
        <v>457</v>
      </c>
      <c r="GS10" s="462"/>
      <c r="GT10" s="137"/>
      <c r="GU10" s="139"/>
    </row>
    <row r="11" spans="1:201" ht="120" customHeight="1" thickBot="1">
      <c r="A11" s="447"/>
      <c r="B11" s="463" t="s">
        <v>392</v>
      </c>
      <c r="C11" s="464" t="s">
        <v>393</v>
      </c>
      <c r="D11" s="465"/>
      <c r="E11" s="466"/>
      <c r="F11" s="692"/>
      <c r="G11" s="700"/>
      <c r="H11" s="701"/>
      <c r="I11" s="702"/>
      <c r="J11" s="467" t="s">
        <v>140</v>
      </c>
      <c r="K11" s="680"/>
      <c r="L11" s="680"/>
      <c r="M11" s="680"/>
      <c r="N11" s="680"/>
      <c r="O11" s="680"/>
      <c r="P11" s="680"/>
      <c r="Q11" s="468" t="s">
        <v>381</v>
      </c>
      <c r="R11" s="469" t="s">
        <v>382</v>
      </c>
      <c r="S11" s="469" t="s">
        <v>383</v>
      </c>
      <c r="T11" s="470" t="s">
        <v>491</v>
      </c>
      <c r="U11" s="471" t="s">
        <v>601</v>
      </c>
      <c r="V11" s="472" t="s">
        <v>384</v>
      </c>
      <c r="W11" s="473" t="s">
        <v>385</v>
      </c>
      <c r="X11" s="474" t="s">
        <v>386</v>
      </c>
      <c r="Y11" s="474" t="s">
        <v>459</v>
      </c>
      <c r="Z11" s="475" t="s">
        <v>602</v>
      </c>
      <c r="AA11" s="476" t="s">
        <v>657</v>
      </c>
      <c r="AB11" s="688" t="s">
        <v>434</v>
      </c>
      <c r="AC11" s="666"/>
      <c r="AD11" s="686" t="s">
        <v>667</v>
      </c>
      <c r="AE11" s="687"/>
      <c r="AF11" s="657" t="s">
        <v>377</v>
      </c>
      <c r="AG11" s="658"/>
      <c r="AH11" s="682" t="s">
        <v>185</v>
      </c>
      <c r="AI11" s="683"/>
      <c r="AJ11" s="682" t="s">
        <v>211</v>
      </c>
      <c r="AK11" s="683"/>
      <c r="AL11" s="477" t="s">
        <v>138</v>
      </c>
      <c r="AM11" s="657" t="s">
        <v>378</v>
      </c>
      <c r="AN11" s="658"/>
      <c r="AO11" s="657" t="s">
        <v>379</v>
      </c>
      <c r="AP11" s="658"/>
      <c r="AQ11" s="684" t="s">
        <v>212</v>
      </c>
      <c r="AR11" s="685"/>
      <c r="AS11" s="478" t="s">
        <v>213</v>
      </c>
      <c r="AT11" s="665" t="s">
        <v>495</v>
      </c>
      <c r="AU11" s="666"/>
      <c r="AV11" s="479" t="s">
        <v>216</v>
      </c>
      <c r="AW11" s="665" t="s">
        <v>500</v>
      </c>
      <c r="AX11" s="666"/>
      <c r="AY11" s="665" t="s">
        <v>217</v>
      </c>
      <c r="AZ11" s="681"/>
      <c r="BA11" s="480" t="s">
        <v>177</v>
      </c>
      <c r="BB11" s="444" t="s">
        <v>178</v>
      </c>
      <c r="BC11" s="470" t="s">
        <v>179</v>
      </c>
      <c r="BD11" s="470" t="s">
        <v>180</v>
      </c>
      <c r="BE11" s="470" t="s">
        <v>181</v>
      </c>
      <c r="BF11" s="470" t="s">
        <v>219</v>
      </c>
      <c r="BG11" s="470" t="s">
        <v>184</v>
      </c>
      <c r="BH11" s="566" t="s">
        <v>579</v>
      </c>
      <c r="BI11" s="470" t="s">
        <v>182</v>
      </c>
      <c r="BJ11" s="446" t="s">
        <v>183</v>
      </c>
      <c r="BK11" s="472" t="s">
        <v>222</v>
      </c>
      <c r="BL11" s="481" t="s">
        <v>461</v>
      </c>
      <c r="BM11" s="482" t="s">
        <v>464</v>
      </c>
      <c r="BN11" s="483" t="s">
        <v>193</v>
      </c>
      <c r="BO11" s="484" t="s">
        <v>194</v>
      </c>
      <c r="BP11" s="484" t="s">
        <v>191</v>
      </c>
      <c r="BQ11" s="485" t="s">
        <v>198</v>
      </c>
      <c r="BR11" s="486" t="s">
        <v>195</v>
      </c>
      <c r="BS11" s="487" t="s">
        <v>196</v>
      </c>
      <c r="BT11" s="487" t="s">
        <v>197</v>
      </c>
      <c r="BU11" s="488" t="s">
        <v>223</v>
      </c>
      <c r="BV11" s="489"/>
      <c r="BW11" s="490" t="s">
        <v>224</v>
      </c>
      <c r="BX11" s="491" t="s">
        <v>188</v>
      </c>
      <c r="BY11" s="492" t="s">
        <v>462</v>
      </c>
      <c r="BZ11" s="492" t="s">
        <v>463</v>
      </c>
      <c r="CA11" s="492" t="s">
        <v>48</v>
      </c>
      <c r="CB11" s="493" t="s">
        <v>47</v>
      </c>
      <c r="CC11" s="494" t="s">
        <v>7</v>
      </c>
      <c r="CD11" s="494" t="s">
        <v>8</v>
      </c>
      <c r="CE11" s="495" t="s">
        <v>9</v>
      </c>
      <c r="CF11" s="496"/>
      <c r="CG11" s="497" t="s">
        <v>163</v>
      </c>
      <c r="CH11" s="498" t="s">
        <v>164</v>
      </c>
      <c r="CI11" s="140" t="s">
        <v>200</v>
      </c>
      <c r="CJ11" s="140" t="s">
        <v>201</v>
      </c>
      <c r="CK11" s="141" t="s">
        <v>202</v>
      </c>
      <c r="CL11" s="499" t="s">
        <v>604</v>
      </c>
      <c r="CM11" s="500" t="s">
        <v>521</v>
      </c>
      <c r="CN11" s="500" t="s">
        <v>521</v>
      </c>
      <c r="CO11" s="500" t="s">
        <v>521</v>
      </c>
      <c r="CP11" s="501" t="s">
        <v>44</v>
      </c>
      <c r="CQ11" s="501" t="s">
        <v>516</v>
      </c>
      <c r="CR11" s="501" t="s">
        <v>45</v>
      </c>
      <c r="CS11" s="502" t="s">
        <v>517</v>
      </c>
      <c r="CT11" s="589" t="s">
        <v>254</v>
      </c>
      <c r="CU11" s="589" t="s">
        <v>525</v>
      </c>
      <c r="CV11" s="589" t="s">
        <v>46</v>
      </c>
      <c r="CW11" s="589" t="s">
        <v>526</v>
      </c>
      <c r="CX11" s="502" t="s">
        <v>117</v>
      </c>
      <c r="CY11" s="502" t="s">
        <v>104</v>
      </c>
      <c r="CZ11" s="501" t="s">
        <v>105</v>
      </c>
      <c r="DA11" s="589" t="s">
        <v>500</v>
      </c>
      <c r="DB11" s="589" t="s">
        <v>111</v>
      </c>
      <c r="DC11" s="494" t="s">
        <v>205</v>
      </c>
      <c r="DD11" s="503" t="s">
        <v>206</v>
      </c>
      <c r="DE11" s="503" t="s">
        <v>207</v>
      </c>
      <c r="DF11" s="494" t="s">
        <v>106</v>
      </c>
      <c r="DG11" s="494" t="s">
        <v>107</v>
      </c>
      <c r="DH11" s="494" t="s">
        <v>108</v>
      </c>
      <c r="DI11" s="494" t="s">
        <v>110</v>
      </c>
      <c r="DJ11" s="504" t="s">
        <v>518</v>
      </c>
      <c r="DK11" s="504" t="s">
        <v>518</v>
      </c>
      <c r="DL11" s="504" t="s">
        <v>518</v>
      </c>
      <c r="DM11" s="505" t="s">
        <v>538</v>
      </c>
      <c r="DN11" s="506" t="s">
        <v>605</v>
      </c>
      <c r="DO11" s="507" t="s">
        <v>522</v>
      </c>
      <c r="DP11" s="507" t="s">
        <v>522</v>
      </c>
      <c r="DQ11" s="507" t="s">
        <v>522</v>
      </c>
      <c r="DR11" s="501" t="s">
        <v>44</v>
      </c>
      <c r="DS11" s="501" t="s">
        <v>516</v>
      </c>
      <c r="DT11" s="501" t="s">
        <v>45</v>
      </c>
      <c r="DU11" s="502" t="s">
        <v>517</v>
      </c>
      <c r="DV11" s="502" t="s">
        <v>254</v>
      </c>
      <c r="DW11" s="502" t="s">
        <v>525</v>
      </c>
      <c r="DX11" s="502" t="s">
        <v>46</v>
      </c>
      <c r="DY11" s="502" t="s">
        <v>526</v>
      </c>
      <c r="DZ11" s="502" t="s">
        <v>117</v>
      </c>
      <c r="EA11" s="502" t="s">
        <v>104</v>
      </c>
      <c r="EB11" s="501" t="s">
        <v>105</v>
      </c>
      <c r="EC11" s="501" t="s">
        <v>500</v>
      </c>
      <c r="ED11" s="502" t="s">
        <v>111</v>
      </c>
      <c r="EE11" s="494" t="s">
        <v>205</v>
      </c>
      <c r="EF11" s="503" t="s">
        <v>206</v>
      </c>
      <c r="EG11" s="503" t="s">
        <v>207</v>
      </c>
      <c r="EH11" s="494" t="s">
        <v>106</v>
      </c>
      <c r="EI11" s="494" t="s">
        <v>107</v>
      </c>
      <c r="EJ11" s="494" t="s">
        <v>108</v>
      </c>
      <c r="EK11" s="494" t="s">
        <v>110</v>
      </c>
      <c r="EL11" s="504" t="s">
        <v>519</v>
      </c>
      <c r="EM11" s="504" t="s">
        <v>519</v>
      </c>
      <c r="EN11" s="504" t="s">
        <v>519</v>
      </c>
      <c r="EO11" s="505" t="s">
        <v>538</v>
      </c>
      <c r="EP11" s="506" t="s">
        <v>606</v>
      </c>
      <c r="EQ11" s="507" t="s">
        <v>523</v>
      </c>
      <c r="ER11" s="507" t="s">
        <v>523</v>
      </c>
      <c r="ES11" s="507" t="s">
        <v>523</v>
      </c>
      <c r="ET11" s="501" t="s">
        <v>44</v>
      </c>
      <c r="EU11" s="501" t="s">
        <v>516</v>
      </c>
      <c r="EV11" s="501" t="s">
        <v>45</v>
      </c>
      <c r="EW11" s="502" t="s">
        <v>517</v>
      </c>
      <c r="EX11" s="502" t="s">
        <v>254</v>
      </c>
      <c r="EY11" s="502" t="s">
        <v>525</v>
      </c>
      <c r="EZ11" s="502" t="s">
        <v>46</v>
      </c>
      <c r="FA11" s="502" t="s">
        <v>526</v>
      </c>
      <c r="FB11" s="502" t="s">
        <v>117</v>
      </c>
      <c r="FC11" s="502" t="s">
        <v>104</v>
      </c>
      <c r="FD11" s="501" t="s">
        <v>105</v>
      </c>
      <c r="FE11" s="501" t="s">
        <v>500</v>
      </c>
      <c r="FF11" s="502" t="s">
        <v>111</v>
      </c>
      <c r="FG11" s="494" t="s">
        <v>205</v>
      </c>
      <c r="FH11" s="503" t="s">
        <v>206</v>
      </c>
      <c r="FI11" s="503" t="s">
        <v>207</v>
      </c>
      <c r="FJ11" s="494" t="s">
        <v>106</v>
      </c>
      <c r="FK11" s="494" t="s">
        <v>107</v>
      </c>
      <c r="FL11" s="494" t="s">
        <v>108</v>
      </c>
      <c r="FM11" s="494" t="s">
        <v>110</v>
      </c>
      <c r="FN11" s="504" t="s">
        <v>520</v>
      </c>
      <c r="FO11" s="504" t="s">
        <v>520</v>
      </c>
      <c r="FP11" s="504" t="s">
        <v>520</v>
      </c>
      <c r="FQ11" s="505" t="s">
        <v>538</v>
      </c>
      <c r="FR11" s="508" t="s">
        <v>607</v>
      </c>
      <c r="FS11" s="507" t="s">
        <v>524</v>
      </c>
      <c r="FT11" s="507" t="s">
        <v>524</v>
      </c>
      <c r="FU11" s="507" t="s">
        <v>524</v>
      </c>
      <c r="FV11" s="501" t="s">
        <v>44</v>
      </c>
      <c r="FW11" s="501" t="s">
        <v>516</v>
      </c>
      <c r="FX11" s="501" t="s">
        <v>45</v>
      </c>
      <c r="FY11" s="502" t="s">
        <v>517</v>
      </c>
      <c r="FZ11" s="502" t="s">
        <v>254</v>
      </c>
      <c r="GA11" s="502" t="s">
        <v>525</v>
      </c>
      <c r="GB11" s="502" t="s">
        <v>46</v>
      </c>
      <c r="GC11" s="502" t="s">
        <v>526</v>
      </c>
      <c r="GD11" s="502" t="s">
        <v>117</v>
      </c>
      <c r="GE11" s="502" t="s">
        <v>104</v>
      </c>
      <c r="GF11" s="501" t="s">
        <v>105</v>
      </c>
      <c r="GG11" s="501" t="s">
        <v>500</v>
      </c>
      <c r="GH11" s="502" t="s">
        <v>111</v>
      </c>
      <c r="GI11" s="494" t="s">
        <v>205</v>
      </c>
      <c r="GJ11" s="503" t="s">
        <v>206</v>
      </c>
      <c r="GK11" s="503" t="s">
        <v>207</v>
      </c>
      <c r="GL11" s="494" t="s">
        <v>106</v>
      </c>
      <c r="GM11" s="494" t="s">
        <v>107</v>
      </c>
      <c r="GN11" s="494" t="s">
        <v>108</v>
      </c>
      <c r="GO11" s="494" t="s">
        <v>110</v>
      </c>
      <c r="GP11" s="504" t="s">
        <v>554</v>
      </c>
      <c r="GQ11" s="504" t="s">
        <v>554</v>
      </c>
      <c r="GR11" s="504" t="s">
        <v>554</v>
      </c>
      <c r="GS11" s="509" t="s">
        <v>538</v>
      </c>
    </row>
    <row r="12" spans="2:201" ht="15.75" customHeight="1">
      <c r="B12" s="510"/>
      <c r="C12" s="511"/>
      <c r="D12" s="511"/>
      <c r="E12" s="512"/>
      <c r="F12" s="510"/>
      <c r="G12" s="513" t="s">
        <v>418</v>
      </c>
      <c r="H12" s="513" t="s">
        <v>419</v>
      </c>
      <c r="I12" s="513" t="s">
        <v>420</v>
      </c>
      <c r="J12" s="511"/>
      <c r="K12" s="511"/>
      <c r="L12" s="511"/>
      <c r="M12" s="511"/>
      <c r="N12" s="511"/>
      <c r="O12" s="511"/>
      <c r="P12" s="512"/>
      <c r="Q12" s="510"/>
      <c r="R12" s="511"/>
      <c r="S12" s="511"/>
      <c r="T12" s="511"/>
      <c r="U12" s="511"/>
      <c r="V12" s="514"/>
      <c r="W12" s="515"/>
      <c r="X12" s="511"/>
      <c r="Y12" s="511"/>
      <c r="Z12" s="511"/>
      <c r="AA12" s="514"/>
      <c r="AB12" s="511" t="s">
        <v>215</v>
      </c>
      <c r="AC12" s="511" t="s">
        <v>214</v>
      </c>
      <c r="AD12" s="511" t="s">
        <v>215</v>
      </c>
      <c r="AE12" s="511" t="s">
        <v>214</v>
      </c>
      <c r="AF12" s="511" t="s">
        <v>215</v>
      </c>
      <c r="AG12" s="511" t="s">
        <v>214</v>
      </c>
      <c r="AH12" s="511" t="s">
        <v>215</v>
      </c>
      <c r="AI12" s="511" t="s">
        <v>214</v>
      </c>
      <c r="AJ12" s="511" t="s">
        <v>215</v>
      </c>
      <c r="AK12" s="511" t="s">
        <v>214</v>
      </c>
      <c r="AL12" s="511"/>
      <c r="AM12" s="511" t="s">
        <v>215</v>
      </c>
      <c r="AN12" s="511" t="s">
        <v>214</v>
      </c>
      <c r="AO12" s="511" t="s">
        <v>215</v>
      </c>
      <c r="AP12" s="511" t="s">
        <v>214</v>
      </c>
      <c r="AQ12" s="511" t="s">
        <v>215</v>
      </c>
      <c r="AR12" s="511" t="s">
        <v>214</v>
      </c>
      <c r="AS12" s="511"/>
      <c r="AT12" s="511" t="s">
        <v>215</v>
      </c>
      <c r="AU12" s="511" t="s">
        <v>214</v>
      </c>
      <c r="AV12" s="516"/>
      <c r="AW12" s="511" t="s">
        <v>215</v>
      </c>
      <c r="AX12" s="511" t="s">
        <v>214</v>
      </c>
      <c r="AY12" s="511" t="s">
        <v>215</v>
      </c>
      <c r="AZ12" s="511" t="s">
        <v>214</v>
      </c>
      <c r="BA12" s="517" t="s">
        <v>220</v>
      </c>
      <c r="BB12" s="518" t="s">
        <v>218</v>
      </c>
      <c r="BC12" s="511" t="s">
        <v>221</v>
      </c>
      <c r="BD12" s="517" t="s">
        <v>220</v>
      </c>
      <c r="BE12" s="518" t="s">
        <v>218</v>
      </c>
      <c r="BF12" s="519" t="s">
        <v>220</v>
      </c>
      <c r="BG12" s="513" t="s">
        <v>221</v>
      </c>
      <c r="BH12" s="565"/>
      <c r="BI12" s="517" t="s">
        <v>220</v>
      </c>
      <c r="BJ12" s="518" t="s">
        <v>218</v>
      </c>
      <c r="BK12" s="514"/>
      <c r="BL12" s="520"/>
      <c r="BM12" s="521"/>
      <c r="BN12" s="521">
        <f>S5</f>
        <v>20</v>
      </c>
      <c r="BO12" s="521">
        <f>W5</f>
        <v>20</v>
      </c>
      <c r="BP12" s="521">
        <f>AA5</f>
        <v>70</v>
      </c>
      <c r="BQ12" s="522"/>
      <c r="BR12" s="523">
        <f>S5</f>
        <v>20</v>
      </c>
      <c r="BS12" s="523">
        <f>W5</f>
        <v>20</v>
      </c>
      <c r="BT12" s="523">
        <f>AA5</f>
        <v>70</v>
      </c>
      <c r="BU12" s="522"/>
      <c r="BV12" s="524"/>
      <c r="BW12" s="525"/>
      <c r="BX12" s="526"/>
      <c r="BY12" s="527" t="s">
        <v>418</v>
      </c>
      <c r="BZ12" s="527" t="s">
        <v>419</v>
      </c>
      <c r="CA12" s="527" t="s">
        <v>420</v>
      </c>
      <c r="CB12" s="527" t="s">
        <v>539</v>
      </c>
      <c r="CC12" s="528" t="s">
        <v>418</v>
      </c>
      <c r="CD12" s="529" t="s">
        <v>419</v>
      </c>
      <c r="CE12" s="530" t="s">
        <v>420</v>
      </c>
      <c r="CF12" s="137"/>
      <c r="CG12" s="497"/>
      <c r="CH12" s="531"/>
      <c r="CI12" s="142" t="s">
        <v>199</v>
      </c>
      <c r="CJ12" s="142" t="s">
        <v>199</v>
      </c>
      <c r="CK12" s="142" t="s">
        <v>199</v>
      </c>
      <c r="CL12" s="142"/>
      <c r="CM12" s="142">
        <v>0.1</v>
      </c>
      <c r="CN12" s="142">
        <v>0.1</v>
      </c>
      <c r="CO12" s="142">
        <v>0.5</v>
      </c>
      <c r="CP12" s="532" t="s">
        <v>527</v>
      </c>
      <c r="CQ12" s="142"/>
      <c r="CR12" s="532" t="s">
        <v>527</v>
      </c>
      <c r="CS12" s="142"/>
      <c r="CT12" s="532" t="s">
        <v>527</v>
      </c>
      <c r="CU12" s="142"/>
      <c r="CV12" s="532" t="s">
        <v>527</v>
      </c>
      <c r="CW12" s="142"/>
      <c r="CX12" s="142" t="s">
        <v>527</v>
      </c>
      <c r="CY12" s="142" t="s">
        <v>527</v>
      </c>
      <c r="CZ12" s="142"/>
      <c r="DA12" s="142" t="s">
        <v>527</v>
      </c>
      <c r="DB12" s="142"/>
      <c r="DC12" s="142"/>
      <c r="DD12" s="142"/>
      <c r="DE12" s="142"/>
      <c r="DF12" s="533">
        <f>$S$5</f>
        <v>20</v>
      </c>
      <c r="DG12" s="533">
        <f>$W$5</f>
        <v>20</v>
      </c>
      <c r="DH12" s="533">
        <f>$AA$5</f>
        <v>70</v>
      </c>
      <c r="DI12" s="143"/>
      <c r="DJ12" s="142"/>
      <c r="DK12" s="142"/>
      <c r="DL12" s="142"/>
      <c r="DM12" s="534"/>
      <c r="DN12" s="535"/>
      <c r="DO12" s="536">
        <v>1</v>
      </c>
      <c r="DP12" s="536">
        <v>1</v>
      </c>
      <c r="DQ12" s="536">
        <v>5</v>
      </c>
      <c r="DR12" s="532" t="s">
        <v>527</v>
      </c>
      <c r="DS12" s="142"/>
      <c r="DT12" s="532" t="s">
        <v>527</v>
      </c>
      <c r="DU12" s="142"/>
      <c r="DV12" s="532" t="s">
        <v>527</v>
      </c>
      <c r="DW12" s="142"/>
      <c r="DX12" s="532" t="s">
        <v>527</v>
      </c>
      <c r="DY12" s="142"/>
      <c r="DZ12" s="142" t="s">
        <v>527</v>
      </c>
      <c r="EA12" s="142" t="s">
        <v>527</v>
      </c>
      <c r="EB12" s="142"/>
      <c r="EC12" s="142" t="s">
        <v>527</v>
      </c>
      <c r="ED12" s="142"/>
      <c r="EE12" s="142"/>
      <c r="EF12" s="142"/>
      <c r="EG12" s="142"/>
      <c r="EH12" s="533">
        <f>$S$5</f>
        <v>20</v>
      </c>
      <c r="EI12" s="533">
        <f>$W$5</f>
        <v>20</v>
      </c>
      <c r="EJ12" s="533">
        <f>$AA$5</f>
        <v>70</v>
      </c>
      <c r="EK12" s="143"/>
      <c r="EL12" s="142"/>
      <c r="EM12" s="142"/>
      <c r="EN12" s="142"/>
      <c r="EO12" s="534"/>
      <c r="EP12" s="537"/>
      <c r="EQ12" s="142">
        <v>5</v>
      </c>
      <c r="ER12" s="142">
        <v>5</v>
      </c>
      <c r="ES12" s="142">
        <v>25</v>
      </c>
      <c r="ET12" s="532" t="s">
        <v>527</v>
      </c>
      <c r="EU12" s="142"/>
      <c r="EV12" s="532" t="s">
        <v>527</v>
      </c>
      <c r="EW12" s="142"/>
      <c r="EX12" s="532" t="s">
        <v>527</v>
      </c>
      <c r="EY12" s="142"/>
      <c r="EZ12" s="532" t="s">
        <v>527</v>
      </c>
      <c r="FA12" s="142"/>
      <c r="FB12" s="142" t="s">
        <v>527</v>
      </c>
      <c r="FC12" s="142" t="s">
        <v>527</v>
      </c>
      <c r="FD12" s="142"/>
      <c r="FE12" s="142" t="s">
        <v>527</v>
      </c>
      <c r="FF12" s="142"/>
      <c r="FG12" s="142"/>
      <c r="FH12" s="142"/>
      <c r="FI12" s="142"/>
      <c r="FJ12" s="533">
        <f>$S$5</f>
        <v>20</v>
      </c>
      <c r="FK12" s="533">
        <f>$W$5</f>
        <v>20</v>
      </c>
      <c r="FL12" s="533">
        <f>$AA$5</f>
        <v>70</v>
      </c>
      <c r="FM12" s="143"/>
      <c r="FN12" s="142"/>
      <c r="FO12" s="142"/>
      <c r="FP12" s="142"/>
      <c r="FQ12" s="534"/>
      <c r="FR12" s="535"/>
      <c r="FS12" s="142">
        <v>20</v>
      </c>
      <c r="FT12" s="142">
        <v>20</v>
      </c>
      <c r="FU12" s="142">
        <v>100</v>
      </c>
      <c r="FV12" s="532" t="s">
        <v>527</v>
      </c>
      <c r="FW12" s="142"/>
      <c r="FX12" s="532" t="s">
        <v>527</v>
      </c>
      <c r="FY12" s="142"/>
      <c r="FZ12" s="532" t="s">
        <v>527</v>
      </c>
      <c r="GA12" s="142"/>
      <c r="GB12" s="532" t="s">
        <v>527</v>
      </c>
      <c r="GC12" s="142"/>
      <c r="GD12" s="142" t="s">
        <v>527</v>
      </c>
      <c r="GE12" s="142" t="s">
        <v>527</v>
      </c>
      <c r="GF12" s="142"/>
      <c r="GG12" s="142" t="s">
        <v>527</v>
      </c>
      <c r="GH12" s="142"/>
      <c r="GI12" s="142"/>
      <c r="GJ12" s="142"/>
      <c r="GK12" s="142"/>
      <c r="GL12" s="533">
        <f>$S$5</f>
        <v>20</v>
      </c>
      <c r="GM12" s="533">
        <f>$W$5</f>
        <v>20</v>
      </c>
      <c r="GN12" s="533">
        <f>$AA$5</f>
        <v>70</v>
      </c>
      <c r="GO12" s="143"/>
      <c r="GP12" s="142"/>
      <c r="GQ12" s="142"/>
      <c r="GR12" s="142"/>
      <c r="GS12" s="538"/>
    </row>
    <row r="13" spans="1:248" s="171" customFormat="1" ht="75.75" customHeight="1">
      <c r="A13" s="144"/>
      <c r="B13" s="145" t="s">
        <v>286</v>
      </c>
      <c r="C13" s="146" t="s">
        <v>387</v>
      </c>
      <c r="D13" s="147" t="s">
        <v>544</v>
      </c>
      <c r="E13" s="148" t="s">
        <v>545</v>
      </c>
      <c r="F13" s="145">
        <v>0.3</v>
      </c>
      <c r="G13" s="119" t="s">
        <v>388</v>
      </c>
      <c r="H13" s="119"/>
      <c r="I13" s="119" t="s">
        <v>388</v>
      </c>
      <c r="J13" s="119" t="s">
        <v>139</v>
      </c>
      <c r="K13" s="119">
        <v>1</v>
      </c>
      <c r="L13" s="149">
        <v>35.72916666666667</v>
      </c>
      <c r="M13" s="119"/>
      <c r="N13" s="119">
        <v>9</v>
      </c>
      <c r="O13" s="119">
        <v>20</v>
      </c>
      <c r="P13" s="150">
        <v>4</v>
      </c>
      <c r="Q13" s="151">
        <f>IF(G13="","n/a",(F13*L13*K13*IF(OR(E13="Air care, continuous action (solid and liquid)",E13="Air care, continuous action (solid and liquid)-pesticidal- excipient only"),0.001,IF(D13="PC37_n: Water treatment chemicals",0.1,$S$4))*$U$4*1000)/(IF(G13="C",10,$W$4)))</f>
        <v>1.7864583333333335</v>
      </c>
      <c r="R13" s="132" t="str">
        <f>IF(H13="","n/a",(F13*M13*K13*1000)/(IF(H13="C",10,$W$4)))</f>
        <v>n/a</v>
      </c>
      <c r="S13" s="143">
        <f>IF(I13="","n/a",(F13*N13*K13*IF(J13="S",1,$AA$4)*P13*$Y$4*1000)/(O13*(IF(I13="C",10,$W$4))))</f>
        <v>12.33</v>
      </c>
      <c r="T13" s="143">
        <f>IF(I13="","n/a",N13*F13*K13*IF(J13="S",1,$AA$4)*1000/O13)</f>
        <v>134.99999999999997</v>
      </c>
      <c r="U13" s="143">
        <f>IF(I13="","n/a",MIN((N13*F13*K13*IF(J13="S",1,$AA$4)*1000/O13),IF($AC$3=0,(N13*F13*IF(J13="S",1,$AA$4)*1000/O13),$AC$3)))</f>
        <v>134.99999999999997</v>
      </c>
      <c r="V13" s="152">
        <f>SUM(Q13:S13)</f>
        <v>14.116458333333334</v>
      </c>
      <c r="W13" s="153">
        <f>IF(OR(G13="",$S$5=""),"n/a",Q13/$S$5)</f>
        <v>0.08932291666666667</v>
      </c>
      <c r="X13" s="154" t="str">
        <f>IF(OR(H13="",$W$5=""),"n/a",R13/$W$5)</f>
        <v>n/a</v>
      </c>
      <c r="Y13" s="154" t="str">
        <f>IF(OR(I13="",$Y$5=""),"n/a",S13/$Y$5)</f>
        <v>n/a</v>
      </c>
      <c r="Z13" s="154">
        <f>IF(OR(I13="",$AA$5=""),"n/a",U13/$AA$5)</f>
        <v>1.9285714285714282</v>
      </c>
      <c r="AA13" s="155">
        <f>SUM(W13:Z13)</f>
        <v>2.0178943452380946</v>
      </c>
      <c r="AB13" s="85">
        <v>0.3</v>
      </c>
      <c r="AC13" s="87" t="s">
        <v>65</v>
      </c>
      <c r="AD13" s="601">
        <v>1</v>
      </c>
      <c r="AE13" s="120" t="s">
        <v>633</v>
      </c>
      <c r="AF13" s="602">
        <v>35.72916666666667</v>
      </c>
      <c r="AG13" s="120" t="s">
        <v>65</v>
      </c>
      <c r="AH13" s="88"/>
      <c r="AI13" s="88"/>
      <c r="AJ13" s="89"/>
      <c r="AK13" s="89"/>
      <c r="AL13" s="122"/>
      <c r="AM13" s="90"/>
      <c r="AN13" s="120"/>
      <c r="AO13" s="85">
        <v>9</v>
      </c>
      <c r="AP13" s="91" t="s">
        <v>515</v>
      </c>
      <c r="AQ13" s="90"/>
      <c r="AR13" s="86"/>
      <c r="AS13" s="118" t="s">
        <v>496</v>
      </c>
      <c r="AT13" s="120">
        <f>IF(AS13="indoor, typical",0.6,IF(AS13="garage",1.5,IF(OR(AS13="indoor, ventilation",AS13="outdoor"),2.5,"")))</f>
        <v>0.6</v>
      </c>
      <c r="AU13" s="131" t="str">
        <f>IF(AND(AS13="outdoor",AT13=0.6),"est. conservative value for outdoor","RIVM  general fact sheet")</f>
        <v>RIVM  general fact sheet</v>
      </c>
      <c r="AV13" s="120">
        <f>IF(P13="","",(1-EXP(-AT13*IF(AY13="",P13,AY13)))/(AT13*IF(AY13="",P13,AY13)))</f>
        <v>0.37886751946274483</v>
      </c>
      <c r="AW13" s="120">
        <f>IF(OR(AS13="indoor, typical",AS13="indoor, ventilation"),20,IF(AS13="garage",34,IF(AS13="outdoor",100,"")))</f>
        <v>20</v>
      </c>
      <c r="AX13" s="156" t="str">
        <f>IF(AW13=20,"TRA default",IF(AW13=34,"RIVM general fact sheet",IF(AW13=100,"Stoffenmanager volume used for outdoors","")))</f>
        <v>TRA default</v>
      </c>
      <c r="AY13" s="121">
        <v>4</v>
      </c>
      <c r="AZ13" s="157" t="s">
        <v>515</v>
      </c>
      <c r="BA13" s="125">
        <f aca="true" t="shared" si="0" ref="BA13:BA44">IF(Q13="n/a","n/a",Q13*(IF(AL13="",1,AL13))*(AB13/IF(OR(F13=0,F13=""),1,F13))*(AF13/IF(OR(L13=0,L13=""),1,L13))*(IF(AD13&lt;1,K13,AD13)/IF(OR(K13=0,K13=""),1,K13))*IF(AH13="",1,AH13)*IF(AJ13="",1,AJ13))</f>
        <v>1.7864583333333335</v>
      </c>
      <c r="BB13" s="125">
        <f aca="true" t="shared" si="1" ref="BB13:BB44">IF(Q13="n/a","n/a",Q13*(IF(AL13="",1,AL13))*(AB13/IF(OR(F13=0,F13=""),1,F13))*(AF13/IF(OR(L13=0,L13=""),1,L13))*(AD13/IF(OR(K13=0,K13=""),1,K13))*IF(AH13="",1,AH13)*IF(AJ13="",1,AJ13))</f>
        <v>1.7864583333333335</v>
      </c>
      <c r="BC13" s="120">
        <f>IF(G13="","n/a",$U$4*IF(OR(E13="Air care, continuous action (solid and liquid)",E13="Air care, continuous action (solid and liquid)-pesticidal- excipient only"),0.001,IF(D13="PC37_n: Water treatment chemicals",0.1,$S$4))*AB13*(IF(AL13="",1,AL13))*1000*IF(AH13="",1,AH13)*IF(AJ13="",1,AJ13))</f>
        <v>3</v>
      </c>
      <c r="BD13" s="120" t="str">
        <f aca="true" t="shared" si="2" ref="BD13:BD44">(IF(R13="n/a","n/a",R13*(AB13/(IF(OR(F13=0,F13=""),1,F13)))*(AM13/(IF(OR(M13=0,M13=""),1,M13)))*(IF(AD13&lt;1,K13,AD13)/(IF(OR(K13=0,K13=""),1,K13)))))</f>
        <v>n/a</v>
      </c>
      <c r="BE13" s="120" t="str">
        <f aca="true" t="shared" si="3" ref="BE13:BE44">IF(R13="n/a","n/a",R13*(AB13/(IF(OR(F13=0,F13=""),1,F13)))*(AM13/(IF(OR(M13=0,M13=""),1,M13)))*(AD13/(IF(OR(K13=0,K13=""),1,K13))))</f>
        <v>n/a</v>
      </c>
      <c r="BF13" s="120">
        <f aca="true" t="shared" si="4" ref="BF13:BF44">IF(S13="n/a","n/a",S13*(AB13/IF(OR(F13=0,F13=""),1,F13))*(AO13/(IF(OR(N13=0,N13=""),1,N13)))*(AY13/(IF(OR(P13=0,P13=""),1,P13)))*(IF(AD13&lt;1,K13,AD13)/(IF(OR(K13=0,K13=""),1,K13)))*(O13/(IF(OR(AW13=0,AW13=""),1,AW13)))*AV13*IF(AQ13="",1,AQ13))</f>
        <v>4.671436514975643</v>
      </c>
      <c r="BG13" s="120">
        <f>IF(I13="","n/a",MIN(((AO13*AB13)/AW13*((1-EXP(-AT13*AY13))/AT13)*1000*IF(J13="S",1,$AA$4)*IF(AQ13="",1,AQ13)/(IF(OR(AY13="",AY13=0),1,AY13))),(IF($AC$3=0,((AO13*AB13)/AW13*((1-EXP(-AT13*AY13))/AT13)*1000*IF(J13="S",1,$AA$4)*IF(AQ13="",1,AQ13)/(IF(OR(AY13="",AY13=0),1,AY13))),$AC$3))))</f>
        <v>51.14711512747055</v>
      </c>
      <c r="BH13" s="120">
        <f>IF(OR(BG13&lt;$AC$3,BG13="n/a"),"","SVC")</f>
      </c>
      <c r="BI13" s="120">
        <f aca="true" t="shared" si="5" ref="BI13:BI44">IF(BG13="n/a","n/a",(BG13*AY13*IF(AD13&lt;1,K13,AD13)/24))</f>
        <v>8.524519187911759</v>
      </c>
      <c r="BJ13" s="158">
        <f>IF(BG13="n/a","n/a",BG13*AY13*AD13/24)</f>
        <v>8.524519187911759</v>
      </c>
      <c r="BK13" s="159">
        <f>SUM(BA13,BD13,BF13)</f>
        <v>6.457894848308976</v>
      </c>
      <c r="BL13" s="160" t="str">
        <f>IF(OR(BC13="n/a",$U$5=""),"n/a",BC13/$U$5)</f>
        <v>n/a</v>
      </c>
      <c r="BM13" s="161" t="str">
        <f>IF(OR(BG13="n/a",$AC$5=""),"n/a",BG13/$AC$5)</f>
        <v>n/a</v>
      </c>
      <c r="BN13" s="161">
        <f>IF(OR(BA13="n/a",$S$5=""),"n/a",BA13/$S$5)</f>
        <v>0.08932291666666667</v>
      </c>
      <c r="BO13" s="162" t="str">
        <f>IF(OR(BD13="n/a",$W$5=""),"n/a",BD13/$W$5)</f>
        <v>n/a</v>
      </c>
      <c r="BP13" s="161">
        <f>IF(OR(BI13="n/a",$AA$5=""),"n/a",BI13/$AA$5)</f>
        <v>0.12177884554159656</v>
      </c>
      <c r="BQ13" s="162">
        <f>SUMIF(BN13:BP13,"&gt;"&amp;0)</f>
        <v>0.2111017622082632</v>
      </c>
      <c r="BR13" s="161">
        <f>IF(OR(BB13="n/a",$S$5=""),"n/a",BB13/$S$5)</f>
        <v>0.08932291666666667</v>
      </c>
      <c r="BS13" s="161" t="str">
        <f>IF(OR(BE13="n/a",$W$5=""),"n/a",BE13/$W$5)</f>
        <v>n/a</v>
      </c>
      <c r="BT13" s="161">
        <f>IF(OR(BJ13="n/a",$AA$5=""),"n/a",BJ13/$AA$5)</f>
        <v>0.12177884554159656</v>
      </c>
      <c r="BU13" s="161">
        <f>SUMIF(BR13:BT13,"&gt;"&amp;0)</f>
        <v>0.2111017622082632</v>
      </c>
      <c r="BV13" s="163" t="str">
        <f>"Unless otherwise stated, "&amp;ocpopulating(AB13:AZ13)</f>
        <v>Unless otherwise stated, covers concentrations up to 30% [ConsOC1]; covers use up to 364 days/year[ConsOC3]; covers use up to 1 time/on day of use[ConsOC4]; covers skin contact area up to 35,73 cm2 [ConsOC5]; for each use event, covers use amounts up to 9g [ConsOC2]; covers use under typical household ventilation [ConsOC8]; covers use in room size of 20m3[ConsOC11]; for each use event, covers exposure up to 4,00hr/event[ConsOC14]; </v>
      </c>
      <c r="BW13" s="126" t="str">
        <f>RMMpopulating($G13:$I13,$S$5,$W$5,$AA$5,$BR13:$BU13,$CP13:$DI13,$DR13:$EK13,$ET13:$FM13,$FV13:$GO13,$BZ$4)</f>
        <v>No specific RMMs identified beyond those OCs stated</v>
      </c>
      <c r="BX13" s="125" t="str">
        <f>IF(OR(BQ13&lt;=$BZ$4,AND(D13="PC13:Fuels",AD13&gt;=1)),"Based upon daily use",IF(OR(AND(BQ13&gt;$BZ$4,BU13&lt;=$BZ$4),AND(D13="PC13:Fuels",AD13&lt;1)),"Based upon infrequent use (&lt;365 days/yr)",IF(AND(BU13&gt;$BZ$4,AD13&gt;=1),"Based upon daily use + RMM",IF(AND(BU13&gt;$BZ$4,AD13&lt;1),"Based upon infrequent use + RMM",""))))</f>
        <v>Based upon daily use</v>
      </c>
      <c r="BY13" s="120">
        <f>IF(OR($S$5="",G13=""),"n/a",RCRpopulating($G13:$I13,$S$5,$W$5,$AA$5,$BR13:$BU13,"d",$CP13:$DI13,$DR13:$EK13,$ET13:$FM13,$FV13:$GO13,$BZ$4))</f>
        <v>0.08932291666666667</v>
      </c>
      <c r="BZ13" s="120" t="str">
        <f>IF(OR(H13="",$W$5=""),"n/a",RCRpopulating($G13:$I13,$S$5,$W$5,$AA$5,$BR13:$BU13,"o",$CP13:$DI13,$DR13:$EK13,$ET13:$FM13,$FV13:$GO13,$BZ$4))</f>
        <v>n/a</v>
      </c>
      <c r="CA13" s="120">
        <f>IF(OR(I13="",$AA$5=""),"n/a",RCRpopulating($G13:$I13,$S$5,$W$5,$AA$5,$BR13:$BU13,"i",$CP13:$DI13,$DR13:$EK13,$ET13:$FM13,$FV13:$GO13,$BZ$4))</f>
        <v>0.12177884554159656</v>
      </c>
      <c r="CB13" s="164">
        <f>RCRpopulating($G13:$I13,$S$5,$W$5,$AA$5,$BR13:$BU13,"t",$CP13:$DI13,$DR13:$EK13,$ET13:$FM13,$FV13:$GO13,$BZ$4)</f>
        <v>0.2111017622082632</v>
      </c>
      <c r="CC13" s="120">
        <f>IF(G13="","n/a",PECpopulating($G13:$I13,$S$5,$W$5,$AA$5,$BR13:$BU13,"d",$CP13:$DI13,$DR13:$EK13,$ET13:$FM13,$FV13:$GO13,$BZ$4))</f>
        <v>1.7864583333333335</v>
      </c>
      <c r="CD13" s="120" t="str">
        <f>IF(H13="","n/a",PECpopulating($G13:$I13,$S$5,$W$5,$AA$5,$BR13:$BU13,"o",$CP13:$DI13,$DR13:$EK13,$ET13:$FM13,$FV13:$GO13,$BZ$4))</f>
        <v>n/a</v>
      </c>
      <c r="CE13" s="159">
        <f>IF(I13="","n/a",PECpopulating($G13:$I13,$S$5,$W$5,$AA$5,$BR13:$BU13,"i",$CP13:$DI13,$DR13:$EK13,$ET13:$FM13,$FV13:$GO13,$BZ$4))</f>
        <v>8.524519187911759</v>
      </c>
      <c r="CF13" s="138"/>
      <c r="CG13" s="145" t="str">
        <f aca="true" t="shared" si="6" ref="CG13:CH20">D13</f>
        <v>PC1:Adhesives, sealants</v>
      </c>
      <c r="CH13" s="118" t="str">
        <f t="shared" si="6"/>
        <v>Glues, hobby use</v>
      </c>
      <c r="CI13" s="120">
        <f>BB13</f>
        <v>1.7864583333333335</v>
      </c>
      <c r="CJ13" s="120" t="str">
        <f>BE13</f>
        <v>n/a</v>
      </c>
      <c r="CK13" s="120">
        <f>BJ13</f>
        <v>8.524519187911759</v>
      </c>
      <c r="CL13" s="124"/>
      <c r="CM13" s="165">
        <f>IF(OR(CI13="n/a",CM$12=""),"n/a",$CI13/CM$12)</f>
        <v>17.864583333333332</v>
      </c>
      <c r="CN13" s="165" t="str">
        <f>IF(OR(CJ13="n/a",CN$12=""),"n/a",$CJ13/CN$12)</f>
        <v>n/a</v>
      </c>
      <c r="CO13" s="165">
        <f>IF(OR(CK13="n/a",CO$12=""),"n/a",$CK13/CO$12)</f>
        <v>17.049038375823518</v>
      </c>
      <c r="CP13" s="598">
        <f>IF(SUM(CM13:CO13)&lt;$BZ$4,"",adjustparameter($AB13,0.01,SUM(CM13,CN13,CO13)/$AB13,$BZ$4))</f>
        <v>0.01</v>
      </c>
      <c r="CQ13" s="166">
        <f>IF(OR($AB13="",$AB13=0,CP13=""),"",($AB13-CP13)/$AB13)</f>
        <v>0.9666666666666667</v>
      </c>
      <c r="CR13" s="599">
        <f>IF($CK13="n/a","",IF(SUM(CM13:CO13)&lt;$BZ$4,"",adjustparameter($AO13,0.5*$AO13,SUM(SUM(CO13)*CP13/$AB13/$AO13),($BZ$4-SUM(CM13:CN13)*CP13/$AB13))))</f>
        <v>4.822486065641728</v>
      </c>
      <c r="CS13" s="166">
        <f>IF(OR($AO13="",$AO13=0,CR13=""),"",($AO13-CR13)/$AO13)</f>
        <v>0.46416821492869687</v>
      </c>
      <c r="CT13" s="124"/>
      <c r="CU13" s="166">
        <f>IF(OR($AL13="",$AL13=0,CT13=""),"",($AL13-CT13)/$AL13)</f>
      </c>
      <c r="CV13" s="124"/>
      <c r="CW13" s="166">
        <f>IF(OR($AM13="",$AM13=0,CV13=""),"",($AM13-CV13)/$AM13)</f>
      </c>
      <c r="CX13" s="595">
        <f>IF(CR13="","",IF(AND(SUM(CM13:CN13)*CP13/$AB13+SUM(CO13)*CP13/$AB13*CR13/$AO13&gt;$BZ$4,$AS13="indoor, typical"),"indoor, ventilation",""))</f>
      </c>
      <c r="CY13" s="165">
        <f>IF(CX13="","",VLOOKUP(CX13,Picklist!$C$2:$E$5,3))</f>
      </c>
      <c r="CZ13" s="594">
        <f>IF(CY13="","",((1-EXP(-$AT13*$AY13))/($AT13*$AY13)-(1-EXP(-CY13*$AY13))/(CY13*$AY13))/((1-EXP(-$AT13*$AY13))/($AT13*$AY13)))</f>
      </c>
      <c r="DA13" s="165"/>
      <c r="DB13" s="166">
        <f>IF(DA13="","",(DA13-$AW13)/DA13)</f>
      </c>
      <c r="DC13" s="593">
        <f>IF($CI13="n/a","n/a",$CI13*IF(CQ13="",1,1-CQ13)*IF(CU13="",1,1-CU13))</f>
        <v>0.0595486111111111</v>
      </c>
      <c r="DD13" s="594" t="str">
        <f>IF($CJ13="n/a","n/a",$CJ13*(IF(CP13="",1,1-CQ13))*IF(CV13="",1,1-CW13))</f>
        <v>n/a</v>
      </c>
      <c r="DE13" s="594">
        <f>IF($CK13="n/a","n/a",$CK13*IF(CP13="",1,1-CQ13)*IF(CR13="",1,1-CS13)*IF(CY13="",1,1-CZ13))</f>
        <v>0.1522569444444444</v>
      </c>
      <c r="DF13" s="165">
        <f>IF(OR(DC13="n/a",$S$5=""),"n/a",DC13/$S$5)</f>
        <v>0.002977430555555555</v>
      </c>
      <c r="DG13" s="165" t="str">
        <f>IF(OR(DD13="n/a",$W$5=""),"n/a",DD13/$W$5)</f>
        <v>n/a</v>
      </c>
      <c r="DH13" s="165">
        <f>IF(OR(DE13="n/a",$AA$5=""),"n/a",DE13/$AA$5)</f>
        <v>0.0021750992063492057</v>
      </c>
      <c r="DI13" s="167">
        <f>SUMIF(DF13:DH13,"&gt;"&amp;0)</f>
        <v>0.005152529761904761</v>
      </c>
      <c r="DJ13" s="165">
        <f>IF(CM13="n/a","n/a",CM13*(IF(CP13="",1,CP13/$AB13))*IF(CT13="",1,CT13))</f>
        <v>0.595486111111111</v>
      </c>
      <c r="DK13" s="165" t="str">
        <f aca="true" t="shared" si="7" ref="DK13:DK44">IF(CN13="n/a","n/a",CN13*(IF(CP13="",1,CP13/$AB13))*IF(OR(CV13="",$AM13=""),1,(CV13/$AM13)))</f>
        <v>n/a</v>
      </c>
      <c r="DL13" s="165">
        <f>IF(CO13="n/a","n/a",CO13*(IF(CP13="",1,CP13/$AB13))*(IF(CR13="",1,(CR13/$AO13)))*IF(CY13="",1,(((1-EXP(-CY13*$AY13))/CY13)/((1-EXP(-$AT13*$AY13))/$AT13)))*IF(DA13="",1,($AW13/DA13)))</f>
        <v>0.30451388888888886</v>
      </c>
      <c r="DM13" s="168">
        <f>SUMIF(DJ13:DL13,"&gt;"&amp;0)</f>
        <v>0.8999999999999999</v>
      </c>
      <c r="DN13" s="169"/>
      <c r="DO13" s="165">
        <f>IF(OR(CI13="n/a",DO$12=""),"n/a",CI13/DO$12)</f>
        <v>1.7864583333333335</v>
      </c>
      <c r="DP13" s="165" t="str">
        <f>IF(OR(CJ13="n/a",DP$12=""),"n/a",CJ13/DP$12)</f>
        <v>n/a</v>
      </c>
      <c r="DQ13" s="165">
        <f>IF(OR(CK13="n/a",DQ$12=""),"n/a",CK13/DQ$12)</f>
        <v>1.7049038375823518</v>
      </c>
      <c r="DR13" s="598">
        <f>IF(SUM(DO13:DQ13)&lt;$BZ$4,"",adjustparameter($AB13,0.01,SUM(DO13,DP13,DQ13)/$AB13,$BZ$4))</f>
        <v>0.07733371297002586</v>
      </c>
      <c r="DS13" s="166">
        <f>IF(OR($AB13="",$AB13=0,DR13=""),"",($AB13-DR13)/$AB13)</f>
        <v>0.7422209567665804</v>
      </c>
      <c r="DT13" s="597">
        <f>IF($CK13="n/a","",IF(SUM(DO13:DQ13)&lt;$BZ$4,"",adjustparameter($AO13,0.5*$AO13,SUM(SUM(DQ13)*DR13/$AB13/$AO13),($BZ$4-SUM(DO13:DP13)*DR13/$AB13))))</f>
      </c>
      <c r="DU13" s="166">
        <f aca="true" t="shared" si="8" ref="DU13:DU61">IF(OR($AO13="",$AO13=0,DT13=""),"",($AO13-DT13)/$AO13)</f>
      </c>
      <c r="DV13" s="124"/>
      <c r="DW13" s="166">
        <f>IF(OR($AL13="",$AL13=0,DV13=""),"",($AL13-DV13)/$AL13)</f>
      </c>
      <c r="DX13" s="124"/>
      <c r="DY13" s="166">
        <f>IF(OR($AM13="",$AM13=0,DX13=""),"",($AM13-DX13)/$AM13)</f>
      </c>
      <c r="DZ13" s="595">
        <f>IF(DT13="","",IF(AND(SUM(DO13:DP13)*DR13/$AB13+SUM(DQ13)*DR13/$AB13*DT13/$AO13&gt;$BZ$4,$AS13="indoor, typical"),"indoor, ventilation",""))</f>
      </c>
      <c r="EA13" s="165">
        <f>IF(DZ13="","",VLOOKUP(DZ13,Picklist!$C$2:$E$5,3))</f>
      </c>
      <c r="EB13" s="594">
        <f>IF(EA13="","",((1-EXP(-$AT13*$AY13))/($AT13*$AY13)-(1-EXP(-EA13*$AY13))/(EA13*$AY13))/((1-EXP(-$AT13*$AY13))/($AT13*$AY13)))</f>
      </c>
      <c r="EC13" s="165"/>
      <c r="ED13" s="166">
        <f>IF(EC13="","",(EC13-$AW13)/EC13)</f>
      </c>
      <c r="EE13" s="593">
        <f>IF($CI13="n/a","n/a",$CI13*IF(DS13="",1,1-DS13)*IF(DW13="",1,1-DW13))</f>
        <v>0.4605115199430361</v>
      </c>
      <c r="EF13" s="594" t="str">
        <f>IF($CJ13="n/a","n/a",$CJ13*(IF(DR13="",1,1-DS13))*IF(DX13="",1,1-DY13))</f>
        <v>n/a</v>
      </c>
      <c r="EG13" s="594">
        <f>IF($CK13="n/a","n/a",$CK13*IF(DR13="",1,1-DS13)*IF(DT13="",1,1-DU13)*IF(EA13="",1,1-EB13))</f>
        <v>2.19744240028482</v>
      </c>
      <c r="EH13" s="165">
        <f>IF(OR(EE13="n/a",$S$5=""),"n/a",EE13/$S$5)</f>
        <v>0.023025575997151805</v>
      </c>
      <c r="EI13" s="165" t="str">
        <f>IF(OR(EF13="n/a",$W$5=""),"n/a",EF13/$W$5)</f>
        <v>n/a</v>
      </c>
      <c r="EJ13" s="165">
        <f>IF(OR(EG13="n/a",$AA$5=""),"n/a",EG13/$AA$5)</f>
        <v>0.03139203428978314</v>
      </c>
      <c r="EK13" s="167">
        <f>SUMIF(EH13:EJ13,"&gt;"&amp;0)</f>
        <v>0.054417610286934946</v>
      </c>
      <c r="EL13" s="165">
        <f>IF(DO13="n/a","n/a",DO13*(IF(DR13="",1,DR13/$AB13))*IF(DV13="",1,DV13))</f>
        <v>0.460511519943036</v>
      </c>
      <c r="EM13" s="165" t="str">
        <f aca="true" t="shared" si="9" ref="EM13:EM44">IF(DP13="n/a","n/a",DP13*(IF(DR13="",1,DR13/$AB13))*IF(OR(DX13="",$AM13=""),1,(DX13/$AM13)))</f>
        <v>n/a</v>
      </c>
      <c r="EN13" s="165">
        <f>IF(DQ13="n/a","n/a",DQ13*(IF(DR13="",1,DR13/$AB13))*(IF(DT13="",1,(DT13/$AO13)))*IF(EA13="",1,(((1-EXP(-EA13*$AY13))/EA13)/((1-EXP(-$AT13*$AY13))/$AT13)))*IF(EC13="",1,($AW13/EC13)))</f>
        <v>0.43948848005696395</v>
      </c>
      <c r="EO13" s="168">
        <f>SUMIF(EL13:EN13,"&gt;"&amp;0)</f>
        <v>0.8999999999999999</v>
      </c>
      <c r="EP13" s="169"/>
      <c r="EQ13" s="165">
        <f>IF(OR(CI13="n/a",EQ$12=""),"n/a",CI13/EQ$12)</f>
        <v>0.3572916666666667</v>
      </c>
      <c r="ER13" s="165" t="str">
        <f>IF(OR(CJ13="n/a",ER$12=""),"n/a",CJ13/ER$12)</f>
        <v>n/a</v>
      </c>
      <c r="ES13" s="165">
        <f>IF(OR(CK13="n/a",ES$12=""),"n/a",CK13/ES$12)</f>
        <v>0.34098076751647033</v>
      </c>
      <c r="ET13" s="596">
        <f>IF(SUM(EQ13:ES13)&lt;$BZ$4,"",adjustparameter($AB13,0.01,SUM(EQ13,ER13,ES13)/$AB13,$BZ$4))</f>
      </c>
      <c r="EU13" s="166">
        <f>IF(OR($AB13="",$AB13=0,ET13=""),"",($AB13-ET13)/$AB13)</f>
      </c>
      <c r="EV13" s="597">
        <f>IF($CK13="n/a","",IF(SUM(EQ13:ES13)&lt;$BZ$4,"",adjustparameter($AO13,0.5*$AO13,SUM(SUM(ES13)*ET13/$AB13/$AO13),($BZ$4-SUM(EQ13:ER13)*ET13/$AB13))))</f>
      </c>
      <c r="EW13" s="166">
        <f>IF(OR($AO13="",$AO13=0,EV13=""),"",($AO13-EV13)/$AO13)</f>
      </c>
      <c r="EX13" s="124"/>
      <c r="EY13" s="166">
        <f>IF(OR($AL13="",$AL13=0,EX13=""),"",($AL13-EX13)/$AL13)</f>
      </c>
      <c r="EZ13" s="124"/>
      <c r="FA13" s="166">
        <f>IF(OR($AM13="",$AM13=0,EZ13=""),"",($AM13-EZ13)/$AM13)</f>
      </c>
      <c r="FB13" s="595">
        <f>IF(EV13="","",IF(AND(SUM(EQ13:ER13)*ET13/$AB13+SUM(ES13)*ET13/$AB13*EV13/$AO13&gt;$BZ$4,$AS13="indoor, typical"),"indoor, ventilation",""))</f>
      </c>
      <c r="FC13" s="165">
        <f>IF(FB13="","",VLOOKUP(FB13,Picklist!$C$2:$E$5,3))</f>
      </c>
      <c r="FD13" s="594">
        <f>IF(FC13="","",((1-EXP(-$AT13*$AY13))/($AT13*$AY13)-(1-EXP(-FC13*$AY13))/(FC13*$AY13))/((1-EXP(-$AT13*$AY13))/($AT13*$AY13)))</f>
      </c>
      <c r="FE13" s="165"/>
      <c r="FF13" s="166">
        <f aca="true" t="shared" si="10" ref="FF13:FF61">IF(FE13="","",(FE13-$AW13)/FE13)</f>
      </c>
      <c r="FG13" s="593">
        <f>IF($CI13="n/a","n/a",$CI13*IF(EU13="",1,1-EU13)*IF(EY13="",1,1-EY13))</f>
        <v>1.7864583333333335</v>
      </c>
      <c r="FH13" s="594" t="str">
        <f>IF($CJ13="n/a","n/a",$CJ13*(IF(ET13="",1,1-EU13))*IF(EZ13="",1,1-FA13))</f>
        <v>n/a</v>
      </c>
      <c r="FI13" s="594">
        <f>IF($CK13="n/a","n/a",$CK13*IF(ET13="",1,1-EU13)*IF(EV13="",1,1-EW13)*IF(FC13="",1,1-FD13))</f>
        <v>8.524519187911759</v>
      </c>
      <c r="FJ13" s="165">
        <f>IF(OR(FG13="n/a",$S$5=""),"n/a",FG13/$S$5)</f>
        <v>0.08932291666666667</v>
      </c>
      <c r="FK13" s="165" t="str">
        <f>IF(OR(FH13="n/a",$W$5=""),"n/a",FH13/$W$5)</f>
        <v>n/a</v>
      </c>
      <c r="FL13" s="165">
        <f>IF(OR(FI13="n/a",$AA$5=""),"n/a",FI13/$AA$5)</f>
        <v>0.12177884554159656</v>
      </c>
      <c r="FM13" s="167">
        <f>SUMIF(FJ13:FL13,"&gt;"&amp;0)</f>
        <v>0.2111017622082632</v>
      </c>
      <c r="FN13" s="165">
        <f>IF(EQ13="n/a","n/a",EQ13*(IF(ET13="",1,ET13/$AB13))*IF(EX13="",1,EX13))</f>
        <v>0.3572916666666667</v>
      </c>
      <c r="FO13" s="165" t="str">
        <f aca="true" t="shared" si="11" ref="FO13:FO44">IF(ER13="n/a","n/a",ER13*(IF(ET13="",1,ET13/$AB13))*IF(OR(EZ13="",$AM13=""),1,(EZ13/$AM13)))</f>
        <v>n/a</v>
      </c>
      <c r="FP13" s="165">
        <f>IF(ES13="n/a","n/a",ES13*(IF(ET13="",1,ET13/$AB13))*(IF(EV13="",1,(EV13/$AO13)))*IF(FC13="",1,(((1-EXP(-FC13*$AY13))/FC13)/((1-EXP(-$AT13*$AY13))/$AT13)))*IF(FE13="",1,($AW13/FE13)))</f>
        <v>0.34098076751647033</v>
      </c>
      <c r="FQ13" s="168">
        <f>SUMIF(FN13:FP13,"&gt;"&amp;0)</f>
        <v>0.698272434183137</v>
      </c>
      <c r="FR13" s="169"/>
      <c r="FS13" s="165">
        <f>IF(OR(CI13="n/a",FS$12=""),"n/a",CI13/FS$12)</f>
        <v>0.08932291666666667</v>
      </c>
      <c r="FT13" s="165" t="str">
        <f>IF(OR(CJ13="n/a",FT$12=""),"n/a",CJ13/FT$12)</f>
        <v>n/a</v>
      </c>
      <c r="FU13" s="165">
        <f>IF(OR(CK13="n/a",FU$12=""),"n/a",CK13/FU$12)</f>
        <v>0.08524519187911758</v>
      </c>
      <c r="FV13" s="596">
        <f>IF(SUM(FS13:FU13)&lt;$BZ$4,"",adjustparameter($AB13,0.01,SUM(FS13,FT13,FU13)/$AB13,$BZ$4))</f>
      </c>
      <c r="FW13" s="166">
        <f>IF(OR($AB13="",$AB13=0,FV13=""),"",($AB13-FV13)/$AB13)</f>
      </c>
      <c r="FX13" s="597">
        <f>IF($CK13="n/a","",IF(SUM(FS13:FU13)&lt;$BZ$4,"",adjustparameter($AO13,0.5*$AO13,SUM(SUM(FU13)*FV13/$AB13/$AO13),($BZ$4-SUM(FS13:FT13)*FV13/$AB13))))</f>
      </c>
      <c r="FY13" s="166">
        <f>IF(OR($AO13="",$AO13=0,FX13=""),"",($AO13-FX13)/$AO13)</f>
      </c>
      <c r="FZ13" s="124"/>
      <c r="GA13" s="166">
        <f>IF(OR($AL13="",$AL13=0,FZ13=""),"",($AL13-FZ13)/$AL13)</f>
      </c>
      <c r="GB13" s="124"/>
      <c r="GC13" s="166">
        <f>IF(OR($AM13="",$AM13=0,GB13=""),"",($AM13-GB13)/$AM13)</f>
      </c>
      <c r="GD13" s="595">
        <f>IF(FX13="","",IF(AND(SUM(FS13:FT13)*FV13/$AB13+SUM(FU13)*FV13/$AB13*FX13/$AO13&gt;$BZ$4,$AS13="indoor, typical"),"indoor, ventilation",""))</f>
      </c>
      <c r="GE13" s="165">
        <f>IF(GD13="","",VLOOKUP(GD13,Picklist!$C$2:$E$5,3))</f>
      </c>
      <c r="GF13" s="594">
        <f>IF(GE13="","",((1-EXP(-$AT13*$AY13))/($AT13*$AY13)-(1-EXP(-GE13*$AY13))/(GE13*$AY13))/((1-EXP(-$AT13*$AY13))/($AT13*$AY13)))</f>
      </c>
      <c r="GG13" s="165"/>
      <c r="GH13" s="166">
        <f aca="true" t="shared" si="12" ref="GH13:GH61">IF(GG13="","",(GG13-$AW13)/GG13)</f>
      </c>
      <c r="GI13" s="593">
        <f>IF($CI13="n/a","n/a",$CI13*IF(FW13="",1,1-FW13)*IF(GA13="",1,1-GA13))</f>
        <v>1.7864583333333335</v>
      </c>
      <c r="GJ13" s="594" t="str">
        <f>IF($CJ13="n/a","n/a",$CJ13*(IF(FV13="",1,1-FW13))*IF(GB13="",1,1-GC13))</f>
        <v>n/a</v>
      </c>
      <c r="GK13" s="594">
        <f>IF($CK13="n/a","n/a",$CK13*IF(FV13="",1,1-FW13)*IF(FX13="",1,1-FY13)*IF(GE13="",1,1-GF13))</f>
        <v>8.524519187911759</v>
      </c>
      <c r="GL13" s="165">
        <f>IF(OR(GI13="n/a",$S$5=""),"n/a",GI13/$S$5)</f>
        <v>0.08932291666666667</v>
      </c>
      <c r="GM13" s="165" t="str">
        <f>IF(OR(GJ13="n/a",$W$5=""),"n/a",GJ13/$W$5)</f>
        <v>n/a</v>
      </c>
      <c r="GN13" s="165">
        <f>IF(OR(GK13="n/a",$AA$5=""),"n/a",GK13/$AA$5)</f>
        <v>0.12177884554159656</v>
      </c>
      <c r="GO13" s="167">
        <f>SUMIF(GL13:GN13,"&gt;"&amp;0)</f>
        <v>0.2111017622082632</v>
      </c>
      <c r="GP13" s="165">
        <f>IF(FS13="n/a","n/a",FS13*(IF(FV13="",1,FV13/$AB13))*IF(FZ13="",1,FZ13))</f>
        <v>0.08932291666666667</v>
      </c>
      <c r="GQ13" s="165" t="str">
        <f aca="true" t="shared" si="13" ref="GQ13:GQ44">IF(FT13="n/a","n/a",FT13*(IF(FV13="",1,FV13/$AB13))*IF(OR(GB13="",$AM13=""),1,(GB13/$AM13)))</f>
        <v>n/a</v>
      </c>
      <c r="GR13" s="165">
        <f>IF(FU13="n/a","n/a",FU13*(IF(FV13="",1,FV13/$AB13))*(IF(FX13="",1,(FX13/$AO13)))*IF(GE13="",1,(((1-EXP(-GE13*$AY13))/GE13)/((1-EXP(-$AT13*$AY13))/$AT13)))*IF(GG13="",1,($AW13/GG13)))</f>
        <v>0.08524519187911758</v>
      </c>
      <c r="GS13" s="170">
        <f>SUMIF(GP13:GR13,"&gt;"&amp;0)</f>
        <v>0.17456810854578425</v>
      </c>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row>
    <row r="14" spans="1:248" s="171" customFormat="1" ht="103.5" customHeight="1">
      <c r="A14" s="139"/>
      <c r="B14" s="145" t="s">
        <v>287</v>
      </c>
      <c r="C14" s="172" t="s">
        <v>387</v>
      </c>
      <c r="D14" s="118" t="s">
        <v>544</v>
      </c>
      <c r="E14" s="173" t="s">
        <v>546</v>
      </c>
      <c r="F14" s="174">
        <v>0.3</v>
      </c>
      <c r="G14" s="121" t="s">
        <v>388</v>
      </c>
      <c r="H14" s="121"/>
      <c r="I14" s="121" t="s">
        <v>388</v>
      </c>
      <c r="J14" s="121" t="s">
        <v>139</v>
      </c>
      <c r="K14" s="121">
        <v>1</v>
      </c>
      <c r="L14" s="175">
        <v>428.75</v>
      </c>
      <c r="M14" s="121"/>
      <c r="N14" s="121">
        <v>15000</v>
      </c>
      <c r="O14" s="121">
        <v>20</v>
      </c>
      <c r="P14" s="176">
        <v>6</v>
      </c>
      <c r="Q14" s="151">
        <f aca="true" t="shared" si="14" ref="Q14:Q61">IF(G14="","n/a",(F14*L14*K14*IF(OR(E14="Air care, continuous action (solid and liquid)",E14="Air care, continuous action (solid and liquid)-pesticidal- excipient only"),0.001,IF(D14="PC37_n: Water treatment chemicals",0.1,$S$4))*$U$4*1000)/(IF(G14="C",10,$W$4)))</f>
        <v>21.437500000000004</v>
      </c>
      <c r="R14" s="132" t="str">
        <f aca="true" t="shared" si="15" ref="R14:R61">IF(H14="","n/a",(F14*M14*K14*1000)/(IF(H14="C",10,$W$4)))</f>
        <v>n/a</v>
      </c>
      <c r="S14" s="143">
        <f aca="true" t="shared" si="16" ref="S14:S61">IF(I14="","n/a",(F14*N14*K14*IF(J14="S",1,$AA$4)*P14*$Y$4*1000)/(O14*(IF(I14="C",10,$W$4))))</f>
        <v>30825</v>
      </c>
      <c r="T14" s="143">
        <f aca="true" t="shared" si="17" ref="T14:T61">IF(I14="","n/a",N14*F14*K14*IF(J14="S",1,$AA$4)*1000/O14)</f>
        <v>225000</v>
      </c>
      <c r="U14" s="143">
        <f aca="true" t="shared" si="18" ref="U14:U61">IF(I14="","n/a",MIN((N14*F14*K14*IF(J14="S",1,$AA$4)*1000/O14),IF($AC$3=0,(N14*F14*IF(J14="S",1,$AA$4)*1000/O14),$AC$3)))</f>
        <v>225000</v>
      </c>
      <c r="V14" s="152">
        <f aca="true" t="shared" si="19" ref="V14:V61">SUM(Q14:S14)</f>
        <v>30846.4375</v>
      </c>
      <c r="W14" s="153">
        <f aca="true" t="shared" si="20" ref="W14:W61">IF(OR(G14="",$S$5=""),"n/a",Q14/$S$5)</f>
        <v>1.0718750000000001</v>
      </c>
      <c r="X14" s="154" t="str">
        <f aca="true" t="shared" si="21" ref="X14:X61">IF(OR(H14="",$W$5=""),"n/a",R14/$W$5)</f>
        <v>n/a</v>
      </c>
      <c r="Y14" s="154" t="str">
        <f aca="true" t="shared" si="22" ref="Y14:Y61">IF(OR(I14="",$Y$5=""),"n/a",S14/$Y$5)</f>
        <v>n/a</v>
      </c>
      <c r="Z14" s="154">
        <f aca="true" t="shared" si="23" ref="Z14:Z61">IF(OR(I14="",$AA$5=""),"n/a",U14/$AA$5)</f>
        <v>3214.285714285714</v>
      </c>
      <c r="AA14" s="155">
        <f aca="true" t="shared" si="24" ref="AA14:AA61">SUM(W14:Z14)</f>
        <v>3215.3575892857143</v>
      </c>
      <c r="AB14" s="92">
        <v>0.3</v>
      </c>
      <c r="AC14" s="87" t="s">
        <v>65</v>
      </c>
      <c r="AD14" s="180">
        <v>0.01</v>
      </c>
      <c r="AE14" s="134" t="s">
        <v>632</v>
      </c>
      <c r="AF14" s="575">
        <v>110</v>
      </c>
      <c r="AG14" s="125" t="s">
        <v>37</v>
      </c>
      <c r="AH14" s="93"/>
      <c r="AI14" s="93"/>
      <c r="AJ14" s="100"/>
      <c r="AK14" s="100"/>
      <c r="AL14" s="125"/>
      <c r="AM14" s="87"/>
      <c r="AN14" s="131"/>
      <c r="AO14" s="90">
        <v>6390</v>
      </c>
      <c r="AP14" s="91" t="s">
        <v>38</v>
      </c>
      <c r="AQ14" s="87"/>
      <c r="AR14" s="91"/>
      <c r="AS14" s="118" t="s">
        <v>496</v>
      </c>
      <c r="AT14" s="120">
        <f aca="true" t="shared" si="25" ref="AT14:AT61">IF(AS14="indoor, typical",0.6,IF(AS14="garage",1.5,IF(OR(AS14="indoor, ventilation",AS14="outdoor"),2.5,"")))</f>
        <v>0.6</v>
      </c>
      <c r="AU14" s="131" t="str">
        <f>IF(AND(AS14="outdoor",AT14=0.6),"est. conservative value for outdoor","RIVM  general fact sheet")</f>
        <v>RIVM  general fact sheet</v>
      </c>
      <c r="AV14" s="131">
        <f aca="true" t="shared" si="26" ref="AV14:AV44">IF(P14="","",(1-EXP(-AT14*IF(AY14="",P14,AY14)))/(AT14*IF(AY14="",P14,AY14)))</f>
        <v>0.2701878548757521</v>
      </c>
      <c r="AW14" s="156">
        <f>IF(OR(AS14="indoor, typical",AS14="indoor, ventilation"),20,IF(AS14="garage",34,IF(AS14="outdoor",100,"")))</f>
        <v>20</v>
      </c>
      <c r="AX14" s="156" t="str">
        <f>IF(AW14=20,"TRA default",IF(AW14=34,"RIVM general fact sheet",IF(AW14=100,"Stoffenmanager volume used for outdoors","")))</f>
        <v>TRA default</v>
      </c>
      <c r="AY14" s="121">
        <v>6</v>
      </c>
      <c r="AZ14" s="157" t="s">
        <v>515</v>
      </c>
      <c r="BA14" s="125">
        <f t="shared" si="0"/>
        <v>5.500000000000001</v>
      </c>
      <c r="BB14" s="125">
        <f t="shared" si="1"/>
        <v>0.05500000000000001</v>
      </c>
      <c r="BC14" s="120">
        <f aca="true" t="shared" si="27" ref="BC14:BC44">IF(G14="","n/a",$U$4*IF(OR(E14="Air care, continuous action (solid and liquid)",E14="Air care, continuous action (solid and liquid)-pesticidal- excipient only"),0.001,IF(D14="PC37_n: Water treatment chemicals",0.1,$S$4))*AB14*(IF(AL14="",1,AL14))*1000*IF(AH14="",1,AH14)*IF(AJ14="",1,AJ14))</f>
        <v>3</v>
      </c>
      <c r="BD14" s="120" t="str">
        <f t="shared" si="2"/>
        <v>n/a</v>
      </c>
      <c r="BE14" s="120" t="str">
        <f t="shared" si="3"/>
        <v>n/a</v>
      </c>
      <c r="BF14" s="120">
        <f t="shared" si="4"/>
        <v>3547.9583069081946</v>
      </c>
      <c r="BG14" s="120">
        <f aca="true" t="shared" si="28" ref="BG14:BG61">IF(I14="","n/a",MIN(((AO14*AB14)/AW14*((1-EXP(-AT14*AY14))/AT14)*1000*IF(J14="S",1,$AA$4)*IF(AQ14="",1,AQ14)/(IF(OR(AY14="",AY14=0),1,AY14))),(IF($AC$3=0,((AO14*AB14)/AW14*((1-EXP(-AT14*AY14))/AT14)*1000*IF(J14="S",1,$AA$4)*IF(AQ14="",1,AQ14)/(IF(OR(AY14="",AY14=0),1,AY14))),$AC$3))))</f>
        <v>25897.505889840835</v>
      </c>
      <c r="BH14" s="120">
        <f aca="true" t="shared" si="29" ref="BH14:BH61">IF(OR(BG14&lt;$AC$3,BG14="n/a"),"","SVC")</f>
      </c>
      <c r="BI14" s="120">
        <f t="shared" si="5"/>
        <v>6474.376472460209</v>
      </c>
      <c r="BJ14" s="158">
        <f aca="true" t="shared" si="30" ref="BJ14:BJ61">IF(BG14="n/a","n/a",BG14*AY14*AD14/24)</f>
        <v>64.74376472460209</v>
      </c>
      <c r="BK14" s="159">
        <f aca="true" t="shared" si="31" ref="BK14:BK61">SUM(BA14,BD14,BF14)</f>
        <v>3553.4583069081946</v>
      </c>
      <c r="BL14" s="160" t="str">
        <f aca="true" t="shared" si="32" ref="BL14:BL61">IF(OR(BC14="n/a",$U$5=""),"n/a",BC14/$U$5)</f>
        <v>n/a</v>
      </c>
      <c r="BM14" s="161" t="str">
        <f aca="true" t="shared" si="33" ref="BM14:BM61">IF(OR(BG14="n/a",$AC$5=""),"n/a",BG14/$AC$5)</f>
        <v>n/a</v>
      </c>
      <c r="BN14" s="161">
        <f aca="true" t="shared" si="34" ref="BN14:BN61">IF(OR(BA14="n/a",$S$5=""),"n/a",BA14/$S$5)</f>
        <v>0.275</v>
      </c>
      <c r="BO14" s="162" t="str">
        <f aca="true" t="shared" si="35" ref="BO14:BO61">IF(OR(BD14="n/a",$W$5=""),"n/a",BD14/$W$5)</f>
        <v>n/a</v>
      </c>
      <c r="BP14" s="161">
        <f aca="true" t="shared" si="36" ref="BP14:BP61">IF(OR(BI14="n/a",$AA$5=""),"n/a",BI14/$AA$5)</f>
        <v>92.49109246371727</v>
      </c>
      <c r="BQ14" s="162">
        <f aca="true" t="shared" si="37" ref="BQ14:BQ61">SUMIF(BN14:BP14,"&gt;"&amp;0)</f>
        <v>92.76609246371727</v>
      </c>
      <c r="BR14" s="161">
        <f aca="true" t="shared" si="38" ref="BR14:BR61">IF(OR(BB14="n/a",$S$5=""),"n/a",BB14/$S$5)</f>
        <v>0.0027500000000000003</v>
      </c>
      <c r="BS14" s="161" t="str">
        <f aca="true" t="shared" si="39" ref="BS14:BS61">IF(OR(BE14="n/a",$W$5=""),"n/a",BE14/$W$5)</f>
        <v>n/a</v>
      </c>
      <c r="BT14" s="161">
        <f aca="true" t="shared" si="40" ref="BT14:BT61">IF(OR(BJ14="n/a",$AA$5=""),"n/a",BJ14/$AA$5)</f>
        <v>0.9249109246371727</v>
      </c>
      <c r="BU14" s="161">
        <f aca="true" t="shared" si="41" ref="BU14:BU61">SUMIF(BR14:BT14,"&gt;"&amp;0)</f>
        <v>0.9276609246371728</v>
      </c>
      <c r="BV14" s="163" t="str">
        <f aca="true" t="shared" si="42" ref="BV14:BV61">"Unless otherwise stated, "&amp;ocpopulating(AB14:AZ14)</f>
        <v>Unless otherwise stated, covers concentrations up to 30% [ConsOC1]; covers use up to 1 day/year[ConsOC3]; covers use up to 1 time/on day of use[ConsOC4]; covers skin contact area up to 110,00 cm2 [ConsOC5]; for each use event, covers use amounts up to 6390g [ConsOC2]; covers use under typical household ventilation [ConsOC8]; covers use in room size of 20m3[ConsOC11]; for each use event, covers exposure up to 6,00hr/event[ConsOC14]; </v>
      </c>
      <c r="BW14" s="126" t="str">
        <f aca="true" t="shared" si="43" ref="BW14:BW61">RMMpopulating($G14:$I14,$S$5,$W$5,$AA$5,$BR14:$BU14,$CP14:$DI14,$DR14:$EK14,$ET14:$FM14,$FV14:$GO14,$BZ$4)</f>
        <v>Avoid using at a product concentration greater than 10% [ConsRMM1]; </v>
      </c>
      <c r="BX14" s="125" t="str">
        <f aca="true" t="shared" si="44" ref="BX14:BX61">IF(OR(BQ14&lt;=$BZ$4,AND(D14="PC13:Fuels",AD14&gt;=1)),"Based upon daily use",IF(OR(AND(BQ14&gt;$BZ$4,BU14&lt;=$BZ$4),AND(D14="PC13:Fuels",AD14&lt;1)),"Based upon infrequent use (&lt;365 days/yr)",IF(AND(BU14&gt;$BZ$4,AD14&gt;=1),"Based upon daily use + RMM",IF(AND(BU14&gt;$BZ$4,AD14&lt;1),"Based upon infrequent use + RMM",""))))</f>
        <v>Based upon infrequent use + RMM</v>
      </c>
      <c r="BY14" s="120">
        <f aca="true" t="shared" si="45" ref="BY14:BY61">IF(OR($S$5="",G14=""),"n/a",RCRpopulating($G14:$I14,$S$5,$W$5,$AA$5,$BR14:$BU14,"d",$CP14:$DI14,$DR14:$EK14,$ET14:$FM14,$FV14:$GO14,$BZ$4))</f>
        <v>0.0009516483473975856</v>
      </c>
      <c r="BZ14" s="120" t="str">
        <f aca="true" t="shared" si="46" ref="BZ14:BZ61">IF(OR(H14="",$W$5=""),"n/a",RCRpopulating($G14:$I14,$S$5,$W$5,$AA$5,$BR14:$BU14,"o",$CP14:$DI14,$DR14:$EK14,$ET14:$FM14,$FV14:$GO14,$BZ$4))</f>
        <v>n/a</v>
      </c>
      <c r="CA14" s="120">
        <f aca="true" t="shared" si="47" ref="CA14:CA61">IF(OR(I14="",$AA$5=""),"n/a",RCRpopulating($G14:$I14,$S$5,$W$5,$AA$5,$BR14:$BU14,"i",$CP14:$DI14,$DR14:$EK14,$ET14:$FM14,$FV14:$GO14,$BZ$4))</f>
        <v>0.32006907378943206</v>
      </c>
      <c r="CB14" s="164">
        <f aca="true" t="shared" si="48" ref="CB14:CB61">RCRpopulating($G14:$I14,$S$5,$W$5,$AA$5,$BR14:$BU14,"t",$CP14:$DI14,$DR14:$EK14,$ET14:$FM14,$FV14:$GO14,$BZ$4)</f>
        <v>0.32102072213682964</v>
      </c>
      <c r="CC14" s="120">
        <f aca="true" t="shared" si="49" ref="CC14:CC61">IF(G14="","n/a",PECpopulating($G14:$I14,$S$5,$W$5,$AA$5,$BR14:$BU14,"d",$CP14:$DI14,$DR14:$EK14,$ET14:$FM14,$FV14:$GO14,$BZ$4))</f>
        <v>0.019032966947951712</v>
      </c>
      <c r="CD14" s="120" t="str">
        <f aca="true" t="shared" si="50" ref="CD14:CD61">IF(H14="","n/a",PECpopulating($G14:$I14,$S$5,$W$5,$AA$5,$BR14:$BU14,"o",$CP14:$DI14,$DR14:$EK14,$ET14:$FM14,$FV14:$GO14,$BZ$4))</f>
        <v>n/a</v>
      </c>
      <c r="CE14" s="159">
        <f aca="true" t="shared" si="51" ref="CE14:CE61">IF(I14="","n/a",PECpopulating($G14:$I14,$S$5,$W$5,$AA$5,$BR14:$BU14,"i",$CP14:$DI14,$DR14:$EK14,$ET14:$FM14,$FV14:$GO14,$BZ$4))</f>
        <v>22.404835165260245</v>
      </c>
      <c r="CF14" s="138"/>
      <c r="CG14" s="145" t="str">
        <f t="shared" si="6"/>
        <v>PC1:Adhesives, sealants</v>
      </c>
      <c r="CH14" s="118" t="str">
        <f t="shared" si="6"/>
        <v>Glues DIY-use (carpet glue, tile glue, wood parquet glue)</v>
      </c>
      <c r="CI14" s="120">
        <f aca="true" t="shared" si="52" ref="CI14:CI61">BB14</f>
        <v>0.05500000000000001</v>
      </c>
      <c r="CJ14" s="120" t="str">
        <f aca="true" t="shared" si="53" ref="CJ14:CJ61">BE14</f>
        <v>n/a</v>
      </c>
      <c r="CK14" s="120">
        <f aca="true" t="shared" si="54" ref="CK14:CK61">BJ14</f>
        <v>64.74376472460209</v>
      </c>
      <c r="CL14" s="124"/>
      <c r="CM14" s="165">
        <f aca="true" t="shared" si="55" ref="CM14:CM61">IF(OR(CI14="n/a",CM$12=""),"n/a",$CI14/CM$12)</f>
        <v>0.55</v>
      </c>
      <c r="CN14" s="165" t="str">
        <f aca="true" t="shared" si="56" ref="CN14:CN61">IF(OR(CJ14="n/a",CN$12=""),"n/a",$CJ14/CN$12)</f>
        <v>n/a</v>
      </c>
      <c r="CO14" s="165">
        <f aca="true" t="shared" si="57" ref="CO14:CO61">IF(OR(CK14="n/a",CO$12=""),"n/a",$CK14/CO$12)</f>
        <v>129.48752944920417</v>
      </c>
      <c r="CP14" s="598">
        <f>IF(SUM(CM14:CO14)&lt;$BZ$4,"",adjustparameter($AB14,0.01,SUM(CM14,CN14,CO14)/$AB14,$BZ$4))</f>
        <v>0.01</v>
      </c>
      <c r="CQ14" s="166">
        <f aca="true" t="shared" si="58" ref="CQ14:CQ61">IF(OR($AB14="",$AB14=0,CP14=""),"",($AB14-CP14)/$AB14)</f>
        <v>0.9666666666666667</v>
      </c>
      <c r="CR14" s="599">
        <f>IF($CK14="n/a","",IF(SUM(CM14:CO14)&lt;$BZ$4,"",adjustparameter($AO14,0.5*$AO14,SUM(SUM(CO14)*CP14/$AB14/$AO14),($BZ$4-SUM(CM14:CN14)*CP14/$AB14))))</f>
        <v>3195</v>
      </c>
      <c r="CS14" s="166">
        <f aca="true" t="shared" si="59" ref="CS14:CS61">IF(OR($AO14="",$AO14=0,CR14=""),"",($AO14-CR14)/$AO14)</f>
        <v>0.5</v>
      </c>
      <c r="CT14" s="124"/>
      <c r="CU14" s="166">
        <f aca="true" t="shared" si="60" ref="CU14:CU61">IF(OR($AL14="",$AL14=0,CT14=""),"",($AL14-CT14)/$AL14)</f>
      </c>
      <c r="CV14" s="124"/>
      <c r="CW14" s="166">
        <f aca="true" t="shared" si="61" ref="CW14:CW61">IF(OR($AM14="",$AM14=0,CV14=""),"",($AM14-CV14)/$AM14)</f>
      </c>
      <c r="CX14" s="595" t="str">
        <f aca="true" t="shared" si="62" ref="CX14:CX61">IF(CR14="","",IF(AND(SUM(CM14:CN14)*CP14/$AB14+SUM(CO14)*CP14/$AB14*CR14/$AO14&gt;$BZ$4,$AS14="indoor, typical"),"indoor, ventilation",""))</f>
        <v>indoor, ventilation</v>
      </c>
      <c r="CY14" s="165">
        <f>IF(CX14="","",VLOOKUP(CX14,Picklist!$C$2:$E$5,3))</f>
        <v>2.5</v>
      </c>
      <c r="CZ14" s="594">
        <f aca="true" t="shared" si="63" ref="CZ14:CZ61">IF(CY14="","",((1-EXP(-$AT14*$AY14))/($AT14*$AY14)-(1-EXP(-CY14*$AY14))/(CY14*$AY14))/((1-EXP(-$AT14*$AY14))/($AT14*$AY14)))</f>
        <v>0.7532581680851799</v>
      </c>
      <c r="DA14" s="165"/>
      <c r="DB14" s="166">
        <f aca="true" t="shared" si="64" ref="DB14:DB61">IF(DA14="","",(DA14-$AW14)/DA14)</f>
      </c>
      <c r="DC14" s="165">
        <f aca="true" t="shared" si="65" ref="DC14:DC61">IF(CI14="n/a","n/a",$CI14*IF(CQ14="",1,1-CQ14)*IF(CU14="",1,1-CU14))</f>
        <v>0.001833333333333333</v>
      </c>
      <c r="DD14" s="165" t="str">
        <f aca="true" t="shared" si="66" ref="DD14:DD61">IF(CJ14="n/a","n/a",$CJ14*(IF(CP14="",1,1-CQ14))*IF(CV14="",1,1-CW14))</f>
        <v>n/a</v>
      </c>
      <c r="DE14" s="165">
        <f aca="true" t="shared" si="67" ref="DE14:DE61">IF(CK14="n/a","n/a",$CK14*IF(CP14="",1,1-CQ14)*IF(CR14="",1,1-CS14)*IF(CY14="",1,1-CZ14))</f>
        <v>0.2662499185535071</v>
      </c>
      <c r="DF14" s="165">
        <f aca="true" t="shared" si="68" ref="DF14:DF61">IF(OR(DC14="n/a",$S$5=""),"n/a",DC14/$S$5)</f>
        <v>9.166666666666665E-05</v>
      </c>
      <c r="DG14" s="165" t="str">
        <f aca="true" t="shared" si="69" ref="DG14:DG61">IF(OR(DD14="n/a",$W$5=""),"n/a",DD14/$W$5)</f>
        <v>n/a</v>
      </c>
      <c r="DH14" s="165">
        <f aca="true" t="shared" si="70" ref="DH14:DH61">IF(OR(DE14="n/a",$AA$5=""),"n/a",DE14/$AA$5)</f>
        <v>0.0038035702650501013</v>
      </c>
      <c r="DI14" s="167">
        <f aca="true" t="shared" si="71" ref="DI14:DI61">SUMIF(DF14:DH14,"&gt;"&amp;0)</f>
        <v>0.003895236931716768</v>
      </c>
      <c r="DJ14" s="165">
        <f aca="true" t="shared" si="72" ref="DJ14:DJ61">IF(CM14="n/a","n/a",CM14*(IF(CP14="",1,CP14/$AB14))*IF(CT14="",1,CT14))</f>
        <v>0.018333333333333333</v>
      </c>
      <c r="DK14" s="165" t="str">
        <f t="shared" si="7"/>
        <v>n/a</v>
      </c>
      <c r="DL14" s="165">
        <f aca="true" t="shared" si="73" ref="DL14:DL61">IF(CO14="n/a","n/a",CO14*(IF(CP14="",1,CP14/$AB14))*(IF(CR14="",1,(CR14/$AO14)))*IF(CY14="",1,(((1-EXP(-CY14*$AY14))/CY14)/((1-EXP(-$AT14*$AY14))/$AT14)))*IF(DA14="",1,($AW14/DA14)))</f>
        <v>0.5324998371070143</v>
      </c>
      <c r="DM14" s="168">
        <f aca="true" t="shared" si="74" ref="DM14:DM61">SUMIF(DJ14:DL14,"&gt;"&amp;0)</f>
        <v>0.5508331704403476</v>
      </c>
      <c r="DN14" s="169"/>
      <c r="DO14" s="165">
        <f aca="true" t="shared" si="75" ref="DO14:DO61">IF(OR(CI14="n/a",DO$12=""),"n/a",CI14/DO$12)</f>
        <v>0.05500000000000001</v>
      </c>
      <c r="DP14" s="165" t="str">
        <f aca="true" t="shared" si="76" ref="DP14:DP61">IF(OR(CJ14="n/a",DP$12=""),"n/a",CJ14/DP$12)</f>
        <v>n/a</v>
      </c>
      <c r="DQ14" s="165">
        <f aca="true" t="shared" si="77" ref="DQ14:DQ61">IF(OR(CK14="n/a",DQ$12=""),"n/a",CK14/DQ$12)</f>
        <v>12.948752944920418</v>
      </c>
      <c r="DR14" s="598">
        <f>IF(SUM(DO14:DQ14)&lt;$BZ$4,"",adjustparameter($AB14,0.01,SUM(DO14,DP14,DQ14)/$AB14,$BZ$4))</f>
        <v>0.020763236670492773</v>
      </c>
      <c r="DS14" s="166">
        <f aca="true" t="shared" si="78" ref="DS14:DS61">IF(OR($AB14="",$AB14=0,DR14=""),"",($AB14-DR14)/$AB14)</f>
        <v>0.9307892110983573</v>
      </c>
      <c r="DT14" s="597">
        <f>IF($CK14="n/a","",IF(SUM(DO14:DQ14)&lt;$BZ$4,"",adjustparameter($AO14,0.5*$AO14,SUM(SUM(DQ14)*DR14/$AB14/$AO14),($BZ$4-SUM(DO14:DP14)*DR14/$AB14))))</f>
        <v>6389.999999999999</v>
      </c>
      <c r="DU14" s="166">
        <f t="shared" si="8"/>
        <v>1.423309392445897E-16</v>
      </c>
      <c r="DV14" s="124"/>
      <c r="DW14" s="166">
        <f aca="true" t="shared" si="79" ref="DW14:DW61">IF(OR($AL14="",$AL14=0,DV14=""),"",($AL14-DV14)/$AL14)</f>
      </c>
      <c r="DX14" s="124"/>
      <c r="DY14" s="166">
        <f aca="true" t="shared" si="80" ref="DY14:DY61">IF(OR($AM14="",$AM14=0,DX14=""),"",($AM14-DX14)/$AM14)</f>
      </c>
      <c r="DZ14" s="595">
        <f aca="true" t="shared" si="81" ref="DZ14:DZ61">IF(DT14="","",IF(AND(SUM(DO14:DP14)*DR14/$AB14+SUM(DQ14)*DR14/$AB14*DT14/$AO14&gt;$BZ$4,$AS14="indoor, typical"),"indoor, ventilation",""))</f>
      </c>
      <c r="EA14" s="165">
        <f>IF(DZ14="","",VLOOKUP(DZ14,Picklist!$C$2:$E$5,3))</f>
      </c>
      <c r="EB14" s="594">
        <f aca="true" t="shared" si="82" ref="EB14:EB61">IF(EA14="","",((1-EXP(-$AT14*$AY14))/($AT14*$AY14)-(1-EXP(-EA14*$AY14))/(EA14*$AY14))/((1-EXP(-$AT14*$AY14))/($AT14*$AY14)))</f>
      </c>
      <c r="EC14" s="165"/>
      <c r="ED14" s="166">
        <f aca="true" t="shared" si="83" ref="ED14:ED61">IF(EC14="","",(EC14-$AW14)/EC14)</f>
      </c>
      <c r="EE14" s="593">
        <f aca="true" t="shared" si="84" ref="EE14:EE61">IF($CI14="n/a","n/a",$CI14*IF(DS14="",1,1-DS14)*IF(DW14="",1,1-DW14))</f>
        <v>0.0038065933895903474</v>
      </c>
      <c r="EF14" s="594" t="str">
        <f aca="true" t="shared" si="85" ref="EF14:EF61">IF($CJ14="n/a","n/a",$CJ14*(IF(DR14="",1,1-DS14))*IF(DX14="",1,1-DY14))</f>
        <v>n/a</v>
      </c>
      <c r="EG14" s="594">
        <f aca="true" t="shared" si="86" ref="EG14:EG61">IF($CK14="n/a","n/a",$CK14*IF(DR14="",1,1-DS14)*IF(DT14="",1,1-DU14)*IF(EA14="",1,1-EB14))</f>
        <v>4.480967033052053</v>
      </c>
      <c r="EH14" s="165">
        <f aca="true" t="shared" si="87" ref="EH14:EH61">IF(OR(EE14="n/a",$S$5=""),"n/a",EE14/$S$5)</f>
        <v>0.00019032966947951738</v>
      </c>
      <c r="EI14" s="165" t="str">
        <f aca="true" t="shared" si="88" ref="EI14:EI61">IF(OR(EF14="n/a",$W$5=""),"n/a",EF14/$W$5)</f>
        <v>n/a</v>
      </c>
      <c r="EJ14" s="165">
        <f aca="true" t="shared" si="89" ref="EJ14:EJ61">IF(OR(EG14="n/a",$AA$5=""),"n/a",EG14/$AA$5)</f>
        <v>0.06401381475788648</v>
      </c>
      <c r="EK14" s="167">
        <f aca="true" t="shared" si="90" ref="EK14:EK61">SUMIF(EH14:EJ14,"&gt;"&amp;0)</f>
        <v>0.064204144427366</v>
      </c>
      <c r="EL14" s="165">
        <f aca="true" t="shared" si="91" ref="EL14:EL61">IF(DO14="n/a","n/a",DO14*(IF(DR14="",1,DR14/$AB14))*IF(DV14="",1,DV14))</f>
        <v>0.0038065933895903422</v>
      </c>
      <c r="EM14" s="165" t="str">
        <f t="shared" si="9"/>
        <v>n/a</v>
      </c>
      <c r="EN14" s="165">
        <f aca="true" t="shared" si="92" ref="EN14:EN61">IF(DQ14="n/a","n/a",DQ14*(IF(DR14="",1,DR14/$AB14))*(IF(DT14="",1,(DT14/$AO14)))*IF(EA14="",1,(((1-EXP(-EA14*$AY14))/EA14)/((1-EXP(-$AT14*$AY14))/$AT14)))*IF(EC14="",1,($AW14/EC14)))</f>
        <v>0.8961934066104096</v>
      </c>
      <c r="EO14" s="168">
        <f aca="true" t="shared" si="93" ref="EO14:EO61">SUMIF(EL14:EN14,"&gt;"&amp;0)</f>
        <v>0.8999999999999999</v>
      </c>
      <c r="EP14" s="169"/>
      <c r="EQ14" s="165">
        <f aca="true" t="shared" si="94" ref="EQ14:EQ61">IF(OR(CI14="n/a",EQ$12=""),"n/a",CI14/EQ$12)</f>
        <v>0.011000000000000001</v>
      </c>
      <c r="ER14" s="165" t="str">
        <f aca="true" t="shared" si="95" ref="ER14:ER61">IF(OR(CJ14="n/a",ER$12=""),"n/a",CJ14/ER$12)</f>
        <v>n/a</v>
      </c>
      <c r="ES14" s="165">
        <f aca="true" t="shared" si="96" ref="ES14:ES61">IF(OR(CK14="n/a",ES$12=""),"n/a",CK14/ES$12)</f>
        <v>2.5897505889840833</v>
      </c>
      <c r="ET14" s="596">
        <f>IF(SUM(EQ14:ES14)&lt;$BZ$4,"",adjustparameter($AB14,0.01,SUM(EQ14,ER14,ES14)/$AB14,$BZ$4))</f>
        <v>0.10381618335246387</v>
      </c>
      <c r="EU14" s="166">
        <f aca="true" t="shared" si="97" ref="EU14:EU61">IF(OR($AB14="",$AB14=0,ET14=""),"",($AB14-ET14)/$AB14)</f>
        <v>0.6539460554917871</v>
      </c>
      <c r="EV14" s="597">
        <f>IF($CK14="n/a","",IF(SUM(EQ14:ES14)&lt;$BZ$4,"",adjustparameter($AO14,0.5*$AO14,SUM(SUM(ES14)*ET14/$AB14/$AO14),($BZ$4-SUM(EQ14:ER14)*ET14/$AB14))))</f>
      </c>
      <c r="EW14" s="166">
        <f aca="true" t="shared" si="98" ref="EW14:EW61">IF(OR($AO14="",$AO14=0,EV14=""),"",($AO14-EV14)/$AO14)</f>
      </c>
      <c r="EX14" s="124"/>
      <c r="EY14" s="166">
        <f aca="true" t="shared" si="99" ref="EY14:EY61">IF(OR($AL14="",$AL14=0,EX14=""),"",($AL14-EX14)/$AL14)</f>
      </c>
      <c r="EZ14" s="124"/>
      <c r="FA14" s="166">
        <f aca="true" t="shared" si="100" ref="FA14:FA61">IF(OR($AM14="",$AM14=0,EZ14=""),"",($AM14-EZ14)/$AM14)</f>
      </c>
      <c r="FB14" s="595">
        <f aca="true" t="shared" si="101" ref="FB14:FB61">IF(EV14="","",IF(AND(SUM(EQ14:ER14)*ET14/$AB14+SUM(ES14)*ET14/$AB14*EV14/$AO14&gt;$BZ$4,$AS14="indoor, typical"),"indoor, ventilation",""))</f>
      </c>
      <c r="FC14" s="165">
        <f>IF(FB14="","",VLOOKUP(FB14,Picklist!$C$2:$E$5,3))</f>
      </c>
      <c r="FD14" s="594">
        <f aca="true" t="shared" si="102" ref="FD14:FD61">IF(FC14="","",((1-EXP(-$AT14*$AY14))/($AT14*$AY14)-(1-EXP(-FC14*$AY14))/(FC14*$AY14))/((1-EXP(-$AT14*$AY14))/($AT14*$AY14)))</f>
      </c>
      <c r="FE14" s="165"/>
      <c r="FF14" s="166">
        <f t="shared" si="10"/>
      </c>
      <c r="FG14" s="593">
        <f aca="true" t="shared" si="103" ref="FG14:FG61">IF($CI14="n/a","n/a",$CI14*IF(EU14="",1,1-EU14)*IF(EY14="",1,1-EY14))</f>
        <v>0.019032966947951712</v>
      </c>
      <c r="FH14" s="594" t="str">
        <f aca="true" t="shared" si="104" ref="FH14:FH61">IF($CJ14="n/a","n/a",$CJ14*(IF(ET14="",1,1-EU14))*IF(EZ14="",1,1-FA14))</f>
        <v>n/a</v>
      </c>
      <c r="FI14" s="594">
        <f aca="true" t="shared" si="105" ref="FI14:FI61">IF($CK14="n/a","n/a",$CK14*IF(ET14="",1,1-EU14)*IF(EV14="",1,1-EW14)*IF(FC14="",1,1-FD14))</f>
        <v>22.404835165260245</v>
      </c>
      <c r="FJ14" s="165">
        <f aca="true" t="shared" si="106" ref="FJ14:FJ61">IF(OR(FG14="n/a",$S$5=""),"n/a",FG14/$S$5)</f>
        <v>0.0009516483473975856</v>
      </c>
      <c r="FK14" s="165" t="str">
        <f aca="true" t="shared" si="107" ref="FK14:FK61">IF(OR(FH14="n/a",$W$5=""),"n/a",FH14/$W$5)</f>
        <v>n/a</v>
      </c>
      <c r="FL14" s="165">
        <f aca="true" t="shared" si="108" ref="FL14:FL61">IF(OR(FI14="n/a",$AA$5=""),"n/a",FI14/$AA$5)</f>
        <v>0.32006907378943206</v>
      </c>
      <c r="FM14" s="167">
        <f aca="true" t="shared" si="109" ref="FM14:FM61">SUMIF(FJ14:FL14,"&gt;"&amp;0)</f>
        <v>0.32102072213682964</v>
      </c>
      <c r="FN14" s="165">
        <f aca="true" t="shared" si="110" ref="FN14:FN61">IF(EQ14="n/a","n/a",EQ14*(IF(ET14="",1,ET14/$AB14))*IF(EX14="",1,EX14))</f>
        <v>0.0038065933895903427</v>
      </c>
      <c r="FO14" s="165" t="str">
        <f t="shared" si="11"/>
        <v>n/a</v>
      </c>
      <c r="FP14" s="165">
        <f aca="true" t="shared" si="111" ref="FP14:FP61">IF(ES14="n/a","n/a",ES14*(IF(ET14="",1,ET14/$AB14))*(IF(EV14="",1,(EV14/$AO14)))*IF(FC14="",1,(((1-EXP(-FC14*$AY14))/FC14)/((1-EXP(-$AT14*$AY14))/$AT14)))*IF(FE14="",1,($AW14/FE14)))</f>
        <v>0.8961934066104097</v>
      </c>
      <c r="FQ14" s="168">
        <f aca="true" t="shared" si="112" ref="FQ14:FQ61">SUMIF(FN14:FP14,"&gt;"&amp;0)</f>
        <v>0.9</v>
      </c>
      <c r="FR14" s="169"/>
      <c r="FS14" s="165">
        <f aca="true" t="shared" si="113" ref="FS14:FS61">IF(OR(CI14="n/a",FS$12=""),"n/a",CI14/FS$12)</f>
        <v>0.0027500000000000003</v>
      </c>
      <c r="FT14" s="165" t="str">
        <f aca="true" t="shared" si="114" ref="FT14:FT61">IF(OR(CJ14="n/a",FT$12=""),"n/a",CJ14/FT$12)</f>
        <v>n/a</v>
      </c>
      <c r="FU14" s="165">
        <f aca="true" t="shared" si="115" ref="FU14:FU61">IF(OR(CK14="n/a",FU$12=""),"n/a",CK14/FU$12)</f>
        <v>0.6474376472460208</v>
      </c>
      <c r="FV14" s="596">
        <f>IF(SUM(FS14:FU14)&lt;$BZ$4,"",adjustparameter($AB14,0.01,SUM(FS14,FT14,FU14)/$AB14,$BZ$4))</f>
      </c>
      <c r="FW14" s="166">
        <f aca="true" t="shared" si="116" ref="FW14:FW61">IF(OR($AB14="",$AB14=0,FV14=""),"",($AB14-FV14)/$AB14)</f>
      </c>
      <c r="FX14" s="597">
        <f>IF($CK14="n/a","",IF(SUM(FS14:FU14)&lt;$BZ$4,"",adjustparameter($AO14,0.5*$AO14,SUM(SUM(FU14)*FV14/$AB14/$AO14),($BZ$4-SUM(FS14:FT14)*FV14/$AB14))))</f>
      </c>
      <c r="FY14" s="166">
        <f aca="true" t="shared" si="117" ref="FY14:FY61">IF(OR($AO14="",$AO14=0,FX14=""),"",($AO14-FX14)/$AO14)</f>
      </c>
      <c r="FZ14" s="124"/>
      <c r="GA14" s="166">
        <f aca="true" t="shared" si="118" ref="GA14:GA61">IF(OR($AL14="",$AL14=0,FZ14=""),"",($AL14-FZ14)/$AL14)</f>
      </c>
      <c r="GB14" s="124"/>
      <c r="GC14" s="166">
        <f aca="true" t="shared" si="119" ref="GC14:GC61">IF(OR($AM14="",$AM14=0,GB14=""),"",($AM14-GB14)/$AM14)</f>
      </c>
      <c r="GD14" s="595">
        <f aca="true" t="shared" si="120" ref="GD14:GD61">IF(FX14="","",IF(AND(SUM(FS14:FT14)*FV14/$AB14+SUM(FU14)*FV14/$AB14*FX14/$AO14&gt;$BZ$4,$AS14="indoor, typical"),"indoor, ventilation",""))</f>
      </c>
      <c r="GE14" s="165">
        <f>IF(GD14="","",VLOOKUP(GD14,Picklist!$C$2:$E$5,3))</f>
      </c>
      <c r="GF14" s="594">
        <f aca="true" t="shared" si="121" ref="GF14:GF61">IF(GE14="","",((1-EXP(-$AT14*$AY14))/($AT14*$AY14)-(1-EXP(-GE14*$AY14))/(GE14*$AY14))/((1-EXP(-$AT14*$AY14))/($AT14*$AY14)))</f>
      </c>
      <c r="GG14" s="165"/>
      <c r="GH14" s="166">
        <f t="shared" si="12"/>
      </c>
      <c r="GI14" s="593">
        <f aca="true" t="shared" si="122" ref="GI14:GI61">IF($CI14="n/a","n/a",$CI14*IF(FW14="",1,1-FW14)*IF(GA14="",1,1-GA14))</f>
        <v>0.05500000000000001</v>
      </c>
      <c r="GJ14" s="594" t="str">
        <f aca="true" t="shared" si="123" ref="GJ14:GJ61">IF($CJ14="n/a","n/a",$CJ14*(IF(FV14="",1,1-FW14))*IF(GB14="",1,1-GC14))</f>
        <v>n/a</v>
      </c>
      <c r="GK14" s="594">
        <f aca="true" t="shared" si="124" ref="GK14:GK61">IF($CK14="n/a","n/a",$CK14*IF(FV14="",1,1-FW14)*IF(FX14="",1,1-FY14)*IF(GE14="",1,1-GF14))</f>
        <v>64.74376472460209</v>
      </c>
      <c r="GL14" s="165">
        <f aca="true" t="shared" si="125" ref="GL14:GL61">IF(OR(GI14="n/a",$S$5=""),"n/a",GI14/$S$5)</f>
        <v>0.0027500000000000003</v>
      </c>
      <c r="GM14" s="165" t="str">
        <f aca="true" t="shared" si="126" ref="GM14:GM61">IF(OR(GJ14="n/a",$W$5=""),"n/a",GJ14/$W$5)</f>
        <v>n/a</v>
      </c>
      <c r="GN14" s="165">
        <f aca="true" t="shared" si="127" ref="GN14:GN61">IF(OR(GK14="n/a",$AA$5=""),"n/a",GK14/$AA$5)</f>
        <v>0.9249109246371727</v>
      </c>
      <c r="GO14" s="167">
        <f aca="true" t="shared" si="128" ref="GO14:GO61">SUMIF(GL14:GN14,"&gt;"&amp;0)</f>
        <v>0.9276609246371728</v>
      </c>
      <c r="GP14" s="165">
        <f aca="true" t="shared" si="129" ref="GP14:GP61">IF(FS14="n/a","n/a",FS14*(IF(FV14="",1,FV14/$AB14))*IF(FZ14="",1,FZ14))</f>
        <v>0.0027500000000000003</v>
      </c>
      <c r="GQ14" s="165" t="str">
        <f t="shared" si="13"/>
        <v>n/a</v>
      </c>
      <c r="GR14" s="165">
        <f aca="true" t="shared" si="130" ref="GR14:GR61">IF(FU14="n/a","n/a",FU14*(IF(FV14="",1,FV14/$AB14))*(IF(FX14="",1,(FX14/$AO14)))*IF(GE14="",1,(((1-EXP(-GE14*$AY14))/GE14)/((1-EXP(-$AT14*$AY14))/$AT14)))*IF(GG14="",1,($AW14/GG14)))</f>
        <v>0.6474376472460208</v>
      </c>
      <c r="GS14" s="170">
        <f aca="true" t="shared" si="131" ref="GS14:GS61">SUMIF(GP14:GR14,"&gt;"&amp;0)</f>
        <v>0.6501876472460209</v>
      </c>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row>
    <row r="15" spans="1:248" s="171" customFormat="1" ht="118.5">
      <c r="A15" s="139"/>
      <c r="B15" s="145" t="s">
        <v>288</v>
      </c>
      <c r="C15" s="172" t="s">
        <v>387</v>
      </c>
      <c r="D15" s="178" t="s">
        <v>544</v>
      </c>
      <c r="E15" s="173" t="s">
        <v>547</v>
      </c>
      <c r="F15" s="179">
        <v>0.3</v>
      </c>
      <c r="G15" s="121" t="s">
        <v>388</v>
      </c>
      <c r="H15" s="121"/>
      <c r="I15" s="121" t="s">
        <v>388</v>
      </c>
      <c r="J15" s="121" t="s">
        <v>398</v>
      </c>
      <c r="K15" s="121">
        <v>1</v>
      </c>
      <c r="L15" s="175">
        <v>35.72916666666667</v>
      </c>
      <c r="M15" s="121"/>
      <c r="N15" s="121">
        <v>255</v>
      </c>
      <c r="O15" s="121">
        <v>20</v>
      </c>
      <c r="P15" s="176">
        <v>4</v>
      </c>
      <c r="Q15" s="151">
        <f t="shared" si="14"/>
        <v>1.7864583333333335</v>
      </c>
      <c r="R15" s="132" t="str">
        <f t="shared" si="15"/>
        <v>n/a</v>
      </c>
      <c r="S15" s="143">
        <f t="shared" si="16"/>
        <v>349.35</v>
      </c>
      <c r="T15" s="143">
        <f t="shared" si="17"/>
        <v>3825</v>
      </c>
      <c r="U15" s="143">
        <f t="shared" si="18"/>
        <v>3825</v>
      </c>
      <c r="V15" s="152">
        <f t="shared" si="19"/>
        <v>351.13645833333334</v>
      </c>
      <c r="W15" s="153">
        <f t="shared" si="20"/>
        <v>0.08932291666666667</v>
      </c>
      <c r="X15" s="154" t="str">
        <f t="shared" si="21"/>
        <v>n/a</v>
      </c>
      <c r="Y15" s="154" t="str">
        <f t="shared" si="22"/>
        <v>n/a</v>
      </c>
      <c r="Z15" s="154">
        <f t="shared" si="23"/>
        <v>54.642857142857146</v>
      </c>
      <c r="AA15" s="155">
        <f t="shared" si="24"/>
        <v>54.73218005952381</v>
      </c>
      <c r="AB15" s="92">
        <v>0.3</v>
      </c>
      <c r="AC15" s="87" t="s">
        <v>65</v>
      </c>
      <c r="AD15" s="156">
        <v>0.04</v>
      </c>
      <c r="AE15" s="134" t="s">
        <v>652</v>
      </c>
      <c r="AF15" s="575">
        <v>35.72916666666667</v>
      </c>
      <c r="AG15" s="120" t="s">
        <v>65</v>
      </c>
      <c r="AH15" s="93"/>
      <c r="AI15" s="93"/>
      <c r="AJ15" s="100"/>
      <c r="AK15" s="100"/>
      <c r="AL15" s="125"/>
      <c r="AM15" s="87"/>
      <c r="AN15" s="131"/>
      <c r="AO15" s="90">
        <f>3*28.35</f>
        <v>85.05000000000001</v>
      </c>
      <c r="AP15" s="86" t="s">
        <v>39</v>
      </c>
      <c r="AQ15" s="90"/>
      <c r="AR15" s="86"/>
      <c r="AS15" s="142" t="s">
        <v>496</v>
      </c>
      <c r="AT15" s="120">
        <f t="shared" si="25"/>
        <v>0.6</v>
      </c>
      <c r="AU15" s="131" t="str">
        <f aca="true" t="shared" si="132" ref="AU15:AU26">IF(AND(AS15="outdoor",AT15=0.6),"est. conservative value for outdoor","RIVM  general fact sheet")</f>
        <v>RIVM  general fact sheet</v>
      </c>
      <c r="AV15" s="131">
        <f t="shared" si="26"/>
        <v>0.37886751946274483</v>
      </c>
      <c r="AW15" s="156">
        <f aca="true" t="shared" si="133" ref="AW15:AW30">IF(OR(AS15="indoor, typical",AS15="indoor, ventilation"),20,IF(AS15="garage",34,IF(AS15="outdoor",100,"")))</f>
        <v>20</v>
      </c>
      <c r="AX15" s="156" t="str">
        <f aca="true" t="shared" si="134" ref="AX15:AX26">IF(AW15=20,"TRA default",IF(AW15=34,"RIVM general fact sheet",IF(AW15=100,"Stoffenmanager volume used for outdoors","")))</f>
        <v>TRA default</v>
      </c>
      <c r="AY15" s="121">
        <v>4</v>
      </c>
      <c r="AZ15" s="157" t="s">
        <v>515</v>
      </c>
      <c r="BA15" s="125">
        <f t="shared" si="0"/>
        <v>1.7864583333333335</v>
      </c>
      <c r="BB15" s="125">
        <f t="shared" si="1"/>
        <v>0.07145833333333335</v>
      </c>
      <c r="BC15" s="120">
        <f t="shared" si="27"/>
        <v>3</v>
      </c>
      <c r="BD15" s="120" t="str">
        <f t="shared" si="2"/>
        <v>n/a</v>
      </c>
      <c r="BE15" s="120" t="str">
        <f t="shared" si="3"/>
        <v>n/a</v>
      </c>
      <c r="BF15" s="120">
        <f t="shared" si="4"/>
        <v>44.14507506651984</v>
      </c>
      <c r="BG15" s="120">
        <f t="shared" si="28"/>
        <v>483.3402379545968</v>
      </c>
      <c r="BH15" s="120">
        <f t="shared" si="29"/>
      </c>
      <c r="BI15" s="120">
        <f t="shared" si="5"/>
        <v>80.55670632576613</v>
      </c>
      <c r="BJ15" s="158">
        <f t="shared" si="30"/>
        <v>3.222268253030645</v>
      </c>
      <c r="BK15" s="159">
        <f t="shared" si="31"/>
        <v>45.93153339985317</v>
      </c>
      <c r="BL15" s="160" t="str">
        <f t="shared" si="32"/>
        <v>n/a</v>
      </c>
      <c r="BM15" s="161" t="str">
        <f t="shared" si="33"/>
        <v>n/a</v>
      </c>
      <c r="BN15" s="161">
        <f t="shared" si="34"/>
        <v>0.08932291666666667</v>
      </c>
      <c r="BO15" s="162" t="str">
        <f t="shared" si="35"/>
        <v>n/a</v>
      </c>
      <c r="BP15" s="161">
        <f t="shared" si="36"/>
        <v>1.1508100903680876</v>
      </c>
      <c r="BQ15" s="162">
        <f t="shared" si="37"/>
        <v>1.2401330070347543</v>
      </c>
      <c r="BR15" s="161">
        <f t="shared" si="38"/>
        <v>0.0035729166666666674</v>
      </c>
      <c r="BS15" s="161" t="str">
        <f t="shared" si="39"/>
        <v>n/a</v>
      </c>
      <c r="BT15" s="161">
        <f t="shared" si="40"/>
        <v>0.0460324036147235</v>
      </c>
      <c r="BU15" s="161">
        <f t="shared" si="41"/>
        <v>0.04960532028139017</v>
      </c>
      <c r="BV15" s="163" t="str">
        <f t="shared" si="42"/>
        <v>Unless otherwise stated, covers concentrations up to 30% [ConsOC1]; covers use up to 11 days/year[ConsOC3]; covers use up to 1 time/on day of use[ConsOC4]; covers skin contact area up to 35,73 cm2 [ConsOC5]; for each use event, covers use amounts up to 85,05g [ConsOC2]; covers use under typical household ventilation [ConsOC8]; covers use in room size of 20m3[ConsOC11]; for each use event, covers exposure up to 4,00hr/event[ConsOC14]; </v>
      </c>
      <c r="BW15" s="126" t="str">
        <f t="shared" si="43"/>
        <v>No specific RMMs identified beyond those OCs stated</v>
      </c>
      <c r="BX15" s="125" t="str">
        <f t="shared" si="44"/>
        <v>Based upon infrequent use (&lt;365 days/yr)</v>
      </c>
      <c r="BY15" s="120">
        <f t="shared" si="45"/>
        <v>0.0035729166666666674</v>
      </c>
      <c r="BZ15" s="120" t="str">
        <f t="shared" si="46"/>
        <v>n/a</v>
      </c>
      <c r="CA15" s="120">
        <f t="shared" si="47"/>
        <v>0.0460324036147235</v>
      </c>
      <c r="CB15" s="164">
        <f t="shared" si="48"/>
        <v>0.04960532028139017</v>
      </c>
      <c r="CC15" s="120">
        <f t="shared" si="49"/>
        <v>3</v>
      </c>
      <c r="CD15" s="120" t="str">
        <f t="shared" si="50"/>
        <v>n/a</v>
      </c>
      <c r="CE15" s="159">
        <f t="shared" si="51"/>
        <v>3.222268253030645</v>
      </c>
      <c r="CF15" s="138"/>
      <c r="CG15" s="145" t="str">
        <f t="shared" si="6"/>
        <v>PC1:Adhesives, sealants</v>
      </c>
      <c r="CH15" s="118" t="str">
        <f t="shared" si="6"/>
        <v>Glue from spray</v>
      </c>
      <c r="CI15" s="120">
        <f t="shared" si="52"/>
        <v>0.07145833333333335</v>
      </c>
      <c r="CJ15" s="120" t="str">
        <f t="shared" si="53"/>
        <v>n/a</v>
      </c>
      <c r="CK15" s="120">
        <f t="shared" si="54"/>
        <v>3.222268253030645</v>
      </c>
      <c r="CL15" s="124"/>
      <c r="CM15" s="165">
        <f t="shared" si="55"/>
        <v>0.7145833333333335</v>
      </c>
      <c r="CN15" s="165" t="str">
        <f t="shared" si="56"/>
        <v>n/a</v>
      </c>
      <c r="CO15" s="165">
        <f t="shared" si="57"/>
        <v>6.44453650606129</v>
      </c>
      <c r="CP15" s="598">
        <f>IF(SUM(CM15:CO15)&lt;$BZ$4,"",adjustparameter($AB15,0.01,SUM(CM15,CN15,CO15)/$AB15,$BZ$4))</f>
        <v>0.0377141333092744</v>
      </c>
      <c r="CQ15" s="166">
        <f t="shared" si="58"/>
        <v>0.8742862223024186</v>
      </c>
      <c r="CR15" s="599">
        <f>IF($CK15="n/a","",IF(SUM(CM15:CO15)&lt;$BZ$4,"",adjustparameter($AO15,0.5*$AO15,SUM(SUM(CO15)*CP15/$AB15/$AO15),($BZ$4-SUM(CM15:CN15)*CP15/$AB15))))</f>
      </c>
      <c r="CS15" s="166">
        <f t="shared" si="59"/>
      </c>
      <c r="CT15" s="124"/>
      <c r="CU15" s="166">
        <f t="shared" si="60"/>
      </c>
      <c r="CV15" s="124"/>
      <c r="CW15" s="166">
        <f t="shared" si="61"/>
      </c>
      <c r="CX15" s="595">
        <f t="shared" si="62"/>
      </c>
      <c r="CY15" s="165">
        <f>IF(CX15="","",VLOOKUP(CX15,Picklist!$C$2:$E$5,3))</f>
      </c>
      <c r="CZ15" s="594">
        <f t="shared" si="63"/>
      </c>
      <c r="DA15" s="165"/>
      <c r="DB15" s="166">
        <f t="shared" si="64"/>
      </c>
      <c r="DC15" s="165">
        <f t="shared" si="65"/>
        <v>0.008983297031306339</v>
      </c>
      <c r="DD15" s="165" t="str">
        <f t="shared" si="66"/>
        <v>n/a</v>
      </c>
      <c r="DE15" s="165">
        <f t="shared" si="67"/>
        <v>0.4050835148434685</v>
      </c>
      <c r="DF15" s="165">
        <f t="shared" si="68"/>
        <v>0.00044916485156531696</v>
      </c>
      <c r="DG15" s="165" t="str">
        <f t="shared" si="69"/>
        <v>n/a</v>
      </c>
      <c r="DH15" s="165">
        <f t="shared" si="70"/>
        <v>0.0057869073549066926</v>
      </c>
      <c r="DI15" s="167">
        <f t="shared" si="71"/>
        <v>0.006236072206472009</v>
      </c>
      <c r="DJ15" s="165">
        <f t="shared" si="72"/>
        <v>0.08983297031306335</v>
      </c>
      <c r="DK15" s="165" t="str">
        <f t="shared" si="7"/>
        <v>n/a</v>
      </c>
      <c r="DL15" s="165">
        <f t="shared" si="73"/>
        <v>0.8101670296869367</v>
      </c>
      <c r="DM15" s="168">
        <f t="shared" si="74"/>
        <v>0.9</v>
      </c>
      <c r="DN15" s="169"/>
      <c r="DO15" s="165">
        <f t="shared" si="75"/>
        <v>0.07145833333333335</v>
      </c>
      <c r="DP15" s="165" t="str">
        <f t="shared" si="76"/>
        <v>n/a</v>
      </c>
      <c r="DQ15" s="165">
        <f t="shared" si="77"/>
        <v>0.644453650606129</v>
      </c>
      <c r="DR15" s="598">
        <f>IF(SUM(DO15:DQ15)&lt;$BZ$4,"",adjustparameter($AB15,0.01,SUM(DO15,DP15,DQ15)/$AB15,$BZ$4))</f>
      </c>
      <c r="DS15" s="166">
        <f t="shared" si="78"/>
      </c>
      <c r="DT15" s="597">
        <f>IF($CK15="n/a","",IF(SUM(DO15:DQ15)&lt;$BZ$4,"",adjustparameter($AO15,0.5*$AO15,SUM(SUM(DQ15)*DR15/$AB15/$AO15),($BZ$4-SUM(DO15:DP15)*DR15/$AB15))))</f>
      </c>
      <c r="DU15" s="166">
        <f t="shared" si="8"/>
      </c>
      <c r="DV15" s="124"/>
      <c r="DW15" s="166">
        <f t="shared" si="79"/>
      </c>
      <c r="DX15" s="124"/>
      <c r="DY15" s="166">
        <f t="shared" si="80"/>
      </c>
      <c r="DZ15" s="595">
        <f t="shared" si="81"/>
      </c>
      <c r="EA15" s="165">
        <f>IF(DZ15="","",VLOOKUP(DZ15,Picklist!$C$2:$E$5,3))</f>
      </c>
      <c r="EB15" s="594">
        <f t="shared" si="82"/>
      </c>
      <c r="EC15" s="165"/>
      <c r="ED15" s="166">
        <f t="shared" si="83"/>
      </c>
      <c r="EE15" s="593">
        <f t="shared" si="84"/>
        <v>0.07145833333333335</v>
      </c>
      <c r="EF15" s="594" t="str">
        <f t="shared" si="85"/>
        <v>n/a</v>
      </c>
      <c r="EG15" s="594">
        <f t="shared" si="86"/>
        <v>3.222268253030645</v>
      </c>
      <c r="EH15" s="165">
        <f t="shared" si="87"/>
        <v>0.0035729166666666674</v>
      </c>
      <c r="EI15" s="165" t="str">
        <f t="shared" si="88"/>
        <v>n/a</v>
      </c>
      <c r="EJ15" s="165">
        <f t="shared" si="89"/>
        <v>0.0460324036147235</v>
      </c>
      <c r="EK15" s="167">
        <f t="shared" si="90"/>
        <v>0.04960532028139017</v>
      </c>
      <c r="EL15" s="165">
        <f t="shared" si="91"/>
        <v>0.07145833333333335</v>
      </c>
      <c r="EM15" s="165" t="str">
        <f t="shared" si="9"/>
        <v>n/a</v>
      </c>
      <c r="EN15" s="165">
        <f t="shared" si="92"/>
        <v>0.644453650606129</v>
      </c>
      <c r="EO15" s="168">
        <f t="shared" si="93"/>
        <v>0.7159119839394623</v>
      </c>
      <c r="EP15" s="169"/>
      <c r="EQ15" s="165">
        <f t="shared" si="94"/>
        <v>0.01429166666666667</v>
      </c>
      <c r="ER15" s="165" t="str">
        <f t="shared" si="95"/>
        <v>n/a</v>
      </c>
      <c r="ES15" s="165">
        <f t="shared" si="96"/>
        <v>0.1288907301212258</v>
      </c>
      <c r="ET15" s="596">
        <f>IF(SUM(EQ15:ES15)&lt;$BZ$4,"",adjustparameter($AB15,0.01,SUM(EQ15,ER15,ES15)/$AB15,$BZ$4))</f>
      </c>
      <c r="EU15" s="166">
        <f t="shared" si="97"/>
      </c>
      <c r="EV15" s="597">
        <f>IF($CK15="n/a","",IF(SUM(EQ15:ES15)&lt;$BZ$4,"",adjustparameter($AO15,0.5*$AO15,SUM(SUM(ES15)*ET15/$AB15/$AO15),($BZ$4-SUM(EQ15:ER15)*ET15/$AB15))))</f>
      </c>
      <c r="EW15" s="166">
        <f t="shared" si="98"/>
      </c>
      <c r="EX15" s="124"/>
      <c r="EY15" s="166">
        <f t="shared" si="99"/>
      </c>
      <c r="EZ15" s="124"/>
      <c r="FA15" s="166">
        <f t="shared" si="100"/>
      </c>
      <c r="FB15" s="595">
        <f t="shared" si="101"/>
      </c>
      <c r="FC15" s="165">
        <f>IF(FB15="","",VLOOKUP(FB15,Picklist!$C$2:$E$5,3))</f>
      </c>
      <c r="FD15" s="594">
        <f t="shared" si="102"/>
      </c>
      <c r="FE15" s="165"/>
      <c r="FF15" s="166">
        <f t="shared" si="10"/>
      </c>
      <c r="FG15" s="593">
        <f t="shared" si="103"/>
        <v>0.07145833333333335</v>
      </c>
      <c r="FH15" s="594" t="str">
        <f t="shared" si="104"/>
        <v>n/a</v>
      </c>
      <c r="FI15" s="594">
        <f t="shared" si="105"/>
        <v>3.222268253030645</v>
      </c>
      <c r="FJ15" s="165">
        <f t="shared" si="106"/>
        <v>0.0035729166666666674</v>
      </c>
      <c r="FK15" s="165" t="str">
        <f t="shared" si="107"/>
        <v>n/a</v>
      </c>
      <c r="FL15" s="165">
        <f t="shared" si="108"/>
        <v>0.0460324036147235</v>
      </c>
      <c r="FM15" s="167">
        <f t="shared" si="109"/>
        <v>0.04960532028139017</v>
      </c>
      <c r="FN15" s="165">
        <f t="shared" si="110"/>
        <v>0.01429166666666667</v>
      </c>
      <c r="FO15" s="165" t="str">
        <f t="shared" si="11"/>
        <v>n/a</v>
      </c>
      <c r="FP15" s="165">
        <f t="shared" si="111"/>
        <v>0.1288907301212258</v>
      </c>
      <c r="FQ15" s="168">
        <f t="shared" si="112"/>
        <v>0.14318239678789246</v>
      </c>
      <c r="FR15" s="169"/>
      <c r="FS15" s="165">
        <f t="shared" si="113"/>
        <v>0.0035729166666666674</v>
      </c>
      <c r="FT15" s="165" t="str">
        <f t="shared" si="114"/>
        <v>n/a</v>
      </c>
      <c r="FU15" s="165">
        <f t="shared" si="115"/>
        <v>0.03222268253030645</v>
      </c>
      <c r="FV15" s="596">
        <f>IF(SUM(FS15:FU15)&lt;$BZ$4,"",adjustparameter($AB15,0.01,SUM(FS15,FT15,FU15)/$AB15,$BZ$4))</f>
      </c>
      <c r="FW15" s="166">
        <f t="shared" si="116"/>
      </c>
      <c r="FX15" s="597">
        <f>IF($CK15="n/a","",IF(SUM(FS15:FU15)&lt;$BZ$4,"",adjustparameter($AO15,0.5*$AO15,SUM(SUM(FU15)*FV15/$AB15/$AO15),($BZ$4-SUM(FS15:FT15)*FV15/$AB15))))</f>
      </c>
      <c r="FY15" s="166">
        <f t="shared" si="117"/>
      </c>
      <c r="FZ15" s="124"/>
      <c r="GA15" s="166">
        <f t="shared" si="118"/>
      </c>
      <c r="GB15" s="124"/>
      <c r="GC15" s="166">
        <f t="shared" si="119"/>
      </c>
      <c r="GD15" s="595">
        <f t="shared" si="120"/>
      </c>
      <c r="GE15" s="165">
        <f>IF(GD15="","",VLOOKUP(GD15,Picklist!$C$2:$E$5,3))</f>
      </c>
      <c r="GF15" s="594">
        <f t="shared" si="121"/>
      </c>
      <c r="GG15" s="165"/>
      <c r="GH15" s="166">
        <f t="shared" si="12"/>
      </c>
      <c r="GI15" s="593">
        <f t="shared" si="122"/>
        <v>0.07145833333333335</v>
      </c>
      <c r="GJ15" s="594" t="str">
        <f t="shared" si="123"/>
        <v>n/a</v>
      </c>
      <c r="GK15" s="594">
        <f t="shared" si="124"/>
        <v>3.222268253030645</v>
      </c>
      <c r="GL15" s="165">
        <f t="shared" si="125"/>
        <v>0.0035729166666666674</v>
      </c>
      <c r="GM15" s="165" t="str">
        <f t="shared" si="126"/>
        <v>n/a</v>
      </c>
      <c r="GN15" s="165">
        <f t="shared" si="127"/>
        <v>0.0460324036147235</v>
      </c>
      <c r="GO15" s="167">
        <f t="shared" si="128"/>
        <v>0.04960532028139017</v>
      </c>
      <c r="GP15" s="165">
        <f t="shared" si="129"/>
        <v>0.0035729166666666674</v>
      </c>
      <c r="GQ15" s="165" t="str">
        <f t="shared" si="13"/>
        <v>n/a</v>
      </c>
      <c r="GR15" s="165">
        <f t="shared" si="130"/>
        <v>0.03222268253030645</v>
      </c>
      <c r="GS15" s="170">
        <f t="shared" si="131"/>
        <v>0.035795599196973116</v>
      </c>
      <c r="GT15" s="139"/>
      <c r="GU15" s="139"/>
      <c r="GV15" s="139"/>
      <c r="GW15" s="139"/>
      <c r="GX15" s="139"/>
      <c r="GY15" s="139"/>
      <c r="GZ15" s="139"/>
      <c r="HA15" s="139"/>
      <c r="HB15" s="139"/>
      <c r="HC15" s="139"/>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39"/>
      <c r="IL15" s="139"/>
      <c r="IM15" s="139"/>
      <c r="IN15" s="139"/>
    </row>
    <row r="16" spans="1:248" s="171" customFormat="1" ht="118.5">
      <c r="A16" s="139"/>
      <c r="B16" s="145"/>
      <c r="C16" s="172" t="s">
        <v>387</v>
      </c>
      <c r="D16" s="178" t="s">
        <v>544</v>
      </c>
      <c r="E16" s="173" t="s">
        <v>548</v>
      </c>
      <c r="F16" s="179">
        <v>0.3</v>
      </c>
      <c r="G16" s="121" t="s">
        <v>388</v>
      </c>
      <c r="H16" s="121"/>
      <c r="I16" s="121" t="s">
        <v>388</v>
      </c>
      <c r="J16" s="121" t="s">
        <v>139</v>
      </c>
      <c r="K16" s="121">
        <v>1</v>
      </c>
      <c r="L16" s="175">
        <v>35.72916666666667</v>
      </c>
      <c r="M16" s="121"/>
      <c r="N16" s="121">
        <v>390</v>
      </c>
      <c r="O16" s="121">
        <v>20</v>
      </c>
      <c r="P16" s="176">
        <v>4</v>
      </c>
      <c r="Q16" s="151">
        <f t="shared" si="14"/>
        <v>1.7864583333333335</v>
      </c>
      <c r="R16" s="132" t="str">
        <f t="shared" si="15"/>
        <v>n/a</v>
      </c>
      <c r="S16" s="143">
        <f t="shared" si="16"/>
        <v>534.3000000000001</v>
      </c>
      <c r="T16" s="143">
        <f t="shared" si="17"/>
        <v>5850</v>
      </c>
      <c r="U16" s="143">
        <f t="shared" si="18"/>
        <v>5850</v>
      </c>
      <c r="V16" s="152">
        <f t="shared" si="19"/>
        <v>536.0864583333334</v>
      </c>
      <c r="W16" s="153">
        <f t="shared" si="20"/>
        <v>0.08932291666666667</v>
      </c>
      <c r="X16" s="154" t="str">
        <f t="shared" si="21"/>
        <v>n/a</v>
      </c>
      <c r="Y16" s="154" t="str">
        <f t="shared" si="22"/>
        <v>n/a</v>
      </c>
      <c r="Z16" s="154">
        <f t="shared" si="23"/>
        <v>83.57142857142857</v>
      </c>
      <c r="AA16" s="155">
        <f t="shared" si="24"/>
        <v>83.66075148809523</v>
      </c>
      <c r="AB16" s="92">
        <v>0.3</v>
      </c>
      <c r="AC16" s="87" t="s">
        <v>65</v>
      </c>
      <c r="AD16" s="180">
        <v>1</v>
      </c>
      <c r="AE16" s="120" t="s">
        <v>634</v>
      </c>
      <c r="AF16" s="575">
        <v>35.72916666666667</v>
      </c>
      <c r="AG16" s="120" t="s">
        <v>65</v>
      </c>
      <c r="AH16" s="93"/>
      <c r="AI16" s="93"/>
      <c r="AJ16" s="100"/>
      <c r="AK16" s="100"/>
      <c r="AL16" s="125"/>
      <c r="AM16" s="87"/>
      <c r="AN16" s="131"/>
      <c r="AO16" s="90">
        <v>75</v>
      </c>
      <c r="AP16" s="86" t="s">
        <v>586</v>
      </c>
      <c r="AQ16" s="90"/>
      <c r="AR16" s="86"/>
      <c r="AS16" s="142" t="s">
        <v>496</v>
      </c>
      <c r="AT16" s="120">
        <f t="shared" si="25"/>
        <v>0.6</v>
      </c>
      <c r="AU16" s="131" t="str">
        <f t="shared" si="132"/>
        <v>RIVM  general fact sheet</v>
      </c>
      <c r="AV16" s="131">
        <f t="shared" si="26"/>
        <v>0.751980606509956</v>
      </c>
      <c r="AW16" s="156">
        <f t="shared" si="133"/>
        <v>20</v>
      </c>
      <c r="AX16" s="156" t="str">
        <f t="shared" si="134"/>
        <v>TRA default</v>
      </c>
      <c r="AY16" s="140">
        <v>1</v>
      </c>
      <c r="AZ16" s="141" t="s">
        <v>40</v>
      </c>
      <c r="BA16" s="125">
        <f t="shared" si="0"/>
        <v>1.7864583333333335</v>
      </c>
      <c r="BB16" s="125">
        <f t="shared" si="1"/>
        <v>1.7864583333333335</v>
      </c>
      <c r="BC16" s="120">
        <f t="shared" si="27"/>
        <v>3</v>
      </c>
      <c r="BD16" s="120" t="str">
        <f t="shared" si="2"/>
        <v>n/a</v>
      </c>
      <c r="BE16" s="120" t="str">
        <f t="shared" si="3"/>
        <v>n/a</v>
      </c>
      <c r="BF16" s="120">
        <f t="shared" si="4"/>
        <v>19.316501829724498</v>
      </c>
      <c r="BG16" s="120">
        <f t="shared" si="28"/>
        <v>845.9781823237005</v>
      </c>
      <c r="BH16" s="120">
        <f t="shared" si="29"/>
      </c>
      <c r="BI16" s="120">
        <f t="shared" si="5"/>
        <v>35.24909093015419</v>
      </c>
      <c r="BJ16" s="158">
        <f t="shared" si="30"/>
        <v>35.24909093015419</v>
      </c>
      <c r="BK16" s="159">
        <f t="shared" si="31"/>
        <v>21.10296016305783</v>
      </c>
      <c r="BL16" s="160" t="str">
        <f t="shared" si="32"/>
        <v>n/a</v>
      </c>
      <c r="BM16" s="161" t="str">
        <f t="shared" si="33"/>
        <v>n/a</v>
      </c>
      <c r="BN16" s="161">
        <f t="shared" si="34"/>
        <v>0.08932291666666667</v>
      </c>
      <c r="BO16" s="162" t="str">
        <f t="shared" si="35"/>
        <v>n/a</v>
      </c>
      <c r="BP16" s="161">
        <f t="shared" si="36"/>
        <v>0.5035584418593455</v>
      </c>
      <c r="BQ16" s="162">
        <f t="shared" si="37"/>
        <v>0.5928813585260122</v>
      </c>
      <c r="BR16" s="161">
        <f t="shared" si="38"/>
        <v>0.08932291666666667</v>
      </c>
      <c r="BS16" s="161" t="str">
        <f t="shared" si="39"/>
        <v>n/a</v>
      </c>
      <c r="BT16" s="161">
        <f t="shared" si="40"/>
        <v>0.5035584418593455</v>
      </c>
      <c r="BU16" s="161">
        <f t="shared" si="41"/>
        <v>0.5928813585260122</v>
      </c>
      <c r="BV16" s="163" t="str">
        <f t="shared" si="42"/>
        <v>Unless otherwise stated, covers concentrations up to 30% [ConsOC1]; covers use up to 364 days/year[ConsOC3]; covers use up to 1 time/on day of use[ConsOC4]; covers skin contact area up to 35,73 cm2 [ConsOC5]; for each use event, covers use amounts up to 75g [ConsOC2]; covers use under typical household ventilation [ConsOC8]; covers use in room size of 20m3[ConsOC11]; for each use event, covers exposure up to 1,00hr/event[ConsOC14]; </v>
      </c>
      <c r="BW16" s="126" t="str">
        <f t="shared" si="43"/>
        <v>No specific RMMs identified beyond those OCs stated</v>
      </c>
      <c r="BX16" s="125" t="str">
        <f t="shared" si="44"/>
        <v>Based upon daily use</v>
      </c>
      <c r="BY16" s="120">
        <f t="shared" si="45"/>
        <v>0.08932291666666667</v>
      </c>
      <c r="BZ16" s="120" t="str">
        <f t="shared" si="46"/>
        <v>n/a</v>
      </c>
      <c r="CA16" s="120">
        <f t="shared" si="47"/>
        <v>0.5035584418593455</v>
      </c>
      <c r="CB16" s="164">
        <f t="shared" si="48"/>
        <v>0.5928813585260122</v>
      </c>
      <c r="CC16" s="120">
        <f t="shared" si="49"/>
        <v>1.7864583333333335</v>
      </c>
      <c r="CD16" s="120" t="str">
        <f t="shared" si="50"/>
        <v>n/a</v>
      </c>
      <c r="CE16" s="159">
        <f t="shared" si="51"/>
        <v>35.24909093015419</v>
      </c>
      <c r="CF16" s="138"/>
      <c r="CG16" s="145" t="str">
        <f t="shared" si="6"/>
        <v>PC1:Adhesives, sealants</v>
      </c>
      <c r="CH16" s="118" t="str">
        <f t="shared" si="6"/>
        <v>Sealants </v>
      </c>
      <c r="CI16" s="120">
        <f t="shared" si="52"/>
        <v>1.7864583333333335</v>
      </c>
      <c r="CJ16" s="120" t="str">
        <f t="shared" si="53"/>
        <v>n/a</v>
      </c>
      <c r="CK16" s="120">
        <f t="shared" si="54"/>
        <v>35.24909093015419</v>
      </c>
      <c r="CL16" s="124"/>
      <c r="CM16" s="165">
        <f t="shared" si="55"/>
        <v>17.864583333333332</v>
      </c>
      <c r="CN16" s="165" t="str">
        <f t="shared" si="56"/>
        <v>n/a</v>
      </c>
      <c r="CO16" s="165">
        <f t="shared" si="57"/>
        <v>70.49818186030838</v>
      </c>
      <c r="CP16" s="598">
        <f>IF(SUM(CM16:CO16)&lt;$BZ$4,"",adjustparameter($AB16,0.01,SUM(CM16,CN16,CO16)/$AB16,$BZ$4))</f>
        <v>0.01</v>
      </c>
      <c r="CQ16" s="166">
        <f t="shared" si="58"/>
        <v>0.9666666666666667</v>
      </c>
      <c r="CR16" s="599">
        <f>IF($CK16="n/a","",IF(SUM(CM16:CO16)&lt;$BZ$4,"",adjustparameter($AO16,0.5*$AO16,SUM(SUM(CO16)*CP16/$AB16/$AO16),($BZ$4-SUM(CM16:CN16)*CP16/$AB16))))</f>
        <v>37.5</v>
      </c>
      <c r="CS16" s="166">
        <f t="shared" si="59"/>
        <v>0.5</v>
      </c>
      <c r="CT16" s="124"/>
      <c r="CU16" s="166">
        <f t="shared" si="60"/>
      </c>
      <c r="CV16" s="124"/>
      <c r="CW16" s="166">
        <f t="shared" si="61"/>
      </c>
      <c r="CX16" s="595" t="str">
        <f t="shared" si="62"/>
        <v>indoor, ventilation</v>
      </c>
      <c r="CY16" s="165">
        <f>IF(CX16="","",VLOOKUP(CX16,Picklist!$C$2:$E$5,3))</f>
        <v>2.5</v>
      </c>
      <c r="CZ16" s="594">
        <f t="shared" si="63"/>
        <v>0.5117347477157587</v>
      </c>
      <c r="DA16" s="165"/>
      <c r="DB16" s="166">
        <f t="shared" si="64"/>
      </c>
      <c r="DC16" s="165">
        <f t="shared" si="65"/>
        <v>0.0595486111111111</v>
      </c>
      <c r="DD16" s="165" t="str">
        <f t="shared" si="66"/>
        <v>n/a</v>
      </c>
      <c r="DE16" s="165">
        <f t="shared" si="67"/>
        <v>0.28684843793003156</v>
      </c>
      <c r="DF16" s="165">
        <f t="shared" si="68"/>
        <v>0.002977430555555555</v>
      </c>
      <c r="DG16" s="165" t="str">
        <f t="shared" si="69"/>
        <v>n/a</v>
      </c>
      <c r="DH16" s="165">
        <f t="shared" si="70"/>
        <v>0.00409783482757188</v>
      </c>
      <c r="DI16" s="167">
        <f t="shared" si="71"/>
        <v>0.007075265383127435</v>
      </c>
      <c r="DJ16" s="165">
        <f t="shared" si="72"/>
        <v>0.595486111111111</v>
      </c>
      <c r="DK16" s="165" t="str">
        <f t="shared" si="7"/>
        <v>n/a</v>
      </c>
      <c r="DL16" s="165">
        <f t="shared" si="73"/>
        <v>0.5736968758600632</v>
      </c>
      <c r="DM16" s="168">
        <f t="shared" si="74"/>
        <v>1.1691829869711743</v>
      </c>
      <c r="DN16" s="169"/>
      <c r="DO16" s="165">
        <f t="shared" si="75"/>
        <v>1.7864583333333335</v>
      </c>
      <c r="DP16" s="165" t="str">
        <f t="shared" si="76"/>
        <v>n/a</v>
      </c>
      <c r="DQ16" s="165">
        <f t="shared" si="77"/>
        <v>7.049818186030838</v>
      </c>
      <c r="DR16" s="598">
        <f>IF(SUM(DO16:DQ16)&lt;$BZ$4,"",adjustparameter($AB16,0.01,SUM(DO16,DP16,DQ16)/$AB16,$BZ$4))</f>
        <v>0.030555856803293917</v>
      </c>
      <c r="DS16" s="166">
        <f t="shared" si="78"/>
        <v>0.8981471439890203</v>
      </c>
      <c r="DT16" s="597">
        <f>IF($CK16="n/a","",IF(SUM(DO16:DQ16)&lt;$BZ$4,"",adjustparameter($AO16,0.5*$AO16,SUM(SUM(DQ16)*DR16/$AB16/$AO16),($BZ$4-SUM(DO16:DP16)*DR16/$AB16))))</f>
      </c>
      <c r="DU16" s="166">
        <f t="shared" si="8"/>
      </c>
      <c r="DV16" s="124"/>
      <c r="DW16" s="166">
        <f t="shared" si="79"/>
      </c>
      <c r="DX16" s="124"/>
      <c r="DY16" s="166">
        <f t="shared" si="80"/>
      </c>
      <c r="DZ16" s="595">
        <f t="shared" si="81"/>
      </c>
      <c r="EA16" s="165">
        <f>IF(DZ16="","",VLOOKUP(DZ16,Picklist!$C$2:$E$5,3))</f>
      </c>
      <c r="EB16" s="594">
        <f t="shared" si="82"/>
      </c>
      <c r="EC16" s="165"/>
      <c r="ED16" s="166">
        <f t="shared" si="83"/>
      </c>
      <c r="EE16" s="593">
        <f t="shared" si="84"/>
        <v>0.1819558833946148</v>
      </c>
      <c r="EF16" s="594" t="str">
        <f t="shared" si="85"/>
        <v>n/a</v>
      </c>
      <c r="EG16" s="594">
        <f t="shared" si="86"/>
        <v>3.5902205830269254</v>
      </c>
      <c r="EH16" s="165">
        <f t="shared" si="87"/>
        <v>0.00909779416973074</v>
      </c>
      <c r="EI16" s="165" t="str">
        <f t="shared" si="88"/>
        <v>n/a</v>
      </c>
      <c r="EJ16" s="165">
        <f t="shared" si="89"/>
        <v>0.051288865471813216</v>
      </c>
      <c r="EK16" s="167">
        <f t="shared" si="90"/>
        <v>0.06038665964154395</v>
      </c>
      <c r="EL16" s="165">
        <f t="shared" si="91"/>
        <v>0.18195588339461483</v>
      </c>
      <c r="EM16" s="165" t="str">
        <f t="shared" si="9"/>
        <v>n/a</v>
      </c>
      <c r="EN16" s="165">
        <f t="shared" si="92"/>
        <v>0.7180441166053853</v>
      </c>
      <c r="EO16" s="168">
        <f t="shared" si="93"/>
        <v>0.9000000000000001</v>
      </c>
      <c r="EP16" s="169"/>
      <c r="EQ16" s="165">
        <f t="shared" si="94"/>
        <v>0.3572916666666667</v>
      </c>
      <c r="ER16" s="165" t="str">
        <f t="shared" si="95"/>
        <v>n/a</v>
      </c>
      <c r="ES16" s="165">
        <f t="shared" si="96"/>
        <v>1.4099636372061675</v>
      </c>
      <c r="ET16" s="596">
        <f>IF(SUM(EQ16:ES16)&lt;$BZ$4,"",adjustparameter($AB16,0.01,SUM(EQ16,ER16,ES16)/$AB16,$BZ$4))</f>
        <v>0.1527792840164696</v>
      </c>
      <c r="EU16" s="166">
        <f t="shared" si="97"/>
        <v>0.49073571994510135</v>
      </c>
      <c r="EV16" s="597">
        <f>IF($CK16="n/a","",IF(SUM(EQ16:ES16)&lt;$BZ$4,"",adjustparameter($AO16,0.5*$AO16,SUM(SUM(ES16)*ET16/$AB16/$AO16),($BZ$4-SUM(EQ16:ER16)*ET16/$AB16))))</f>
      </c>
      <c r="EW16" s="166">
        <f t="shared" si="98"/>
      </c>
      <c r="EX16" s="124"/>
      <c r="EY16" s="166">
        <f t="shared" si="99"/>
      </c>
      <c r="EZ16" s="124"/>
      <c r="FA16" s="166">
        <f t="shared" si="100"/>
      </c>
      <c r="FB16" s="595">
        <f t="shared" si="101"/>
      </c>
      <c r="FC16" s="165">
        <f>IF(FB16="","",VLOOKUP(FB16,Picklist!$C$2:$E$5,3))</f>
      </c>
      <c r="FD16" s="594">
        <f t="shared" si="102"/>
      </c>
      <c r="FE16" s="165"/>
      <c r="FF16" s="166">
        <f t="shared" si="10"/>
      </c>
      <c r="FG16" s="593">
        <f t="shared" si="103"/>
        <v>0.9097794169730742</v>
      </c>
      <c r="FH16" s="594" t="str">
        <f t="shared" si="104"/>
        <v>n/a</v>
      </c>
      <c r="FI16" s="594">
        <f t="shared" si="105"/>
        <v>17.95110291513463</v>
      </c>
      <c r="FJ16" s="165">
        <f t="shared" si="106"/>
        <v>0.045488970848653706</v>
      </c>
      <c r="FK16" s="165" t="str">
        <f t="shared" si="107"/>
        <v>n/a</v>
      </c>
      <c r="FL16" s="165">
        <f t="shared" si="108"/>
        <v>0.25644432735906614</v>
      </c>
      <c r="FM16" s="167">
        <f t="shared" si="109"/>
        <v>0.30193329820771986</v>
      </c>
      <c r="FN16" s="165">
        <f t="shared" si="110"/>
        <v>0.18195588339461483</v>
      </c>
      <c r="FO16" s="165" t="str">
        <f t="shared" si="11"/>
        <v>n/a</v>
      </c>
      <c r="FP16" s="165">
        <f t="shared" si="111"/>
        <v>0.7180441166053851</v>
      </c>
      <c r="FQ16" s="168">
        <f t="shared" si="112"/>
        <v>0.8999999999999999</v>
      </c>
      <c r="FR16" s="169"/>
      <c r="FS16" s="165">
        <f t="shared" si="113"/>
        <v>0.08932291666666667</v>
      </c>
      <c r="FT16" s="165" t="str">
        <f t="shared" si="114"/>
        <v>n/a</v>
      </c>
      <c r="FU16" s="165">
        <f t="shared" si="115"/>
        <v>0.35249090930154187</v>
      </c>
      <c r="FV16" s="596">
        <f>IF(SUM(FS16:FU16)&lt;$BZ$4,"",adjustparameter($AB16,0.01,SUM(FS16,FT16,FU16)/$AB16,$BZ$4))</f>
      </c>
      <c r="FW16" s="166">
        <f t="shared" si="116"/>
      </c>
      <c r="FX16" s="597">
        <f>IF($CK16="n/a","",IF(SUM(FS16:FU16)&lt;$BZ$4,"",adjustparameter($AO16,0.5*$AO16,SUM(SUM(FU16)*FV16/$AB16/$AO16),($BZ$4-SUM(FS16:FT16)*FV16/$AB16))))</f>
      </c>
      <c r="FY16" s="166">
        <f t="shared" si="117"/>
      </c>
      <c r="FZ16" s="124"/>
      <c r="GA16" s="166">
        <f t="shared" si="118"/>
      </c>
      <c r="GB16" s="124"/>
      <c r="GC16" s="166">
        <f t="shared" si="119"/>
      </c>
      <c r="GD16" s="595">
        <f t="shared" si="120"/>
      </c>
      <c r="GE16" s="165">
        <f>IF(GD16="","",VLOOKUP(GD16,Picklist!$C$2:$E$5,3))</f>
      </c>
      <c r="GF16" s="594">
        <f t="shared" si="121"/>
      </c>
      <c r="GG16" s="165"/>
      <c r="GH16" s="166">
        <f t="shared" si="12"/>
      </c>
      <c r="GI16" s="593">
        <f t="shared" si="122"/>
        <v>1.7864583333333335</v>
      </c>
      <c r="GJ16" s="594" t="str">
        <f t="shared" si="123"/>
        <v>n/a</v>
      </c>
      <c r="GK16" s="594">
        <f t="shared" si="124"/>
        <v>35.24909093015419</v>
      </c>
      <c r="GL16" s="165">
        <f t="shared" si="125"/>
        <v>0.08932291666666667</v>
      </c>
      <c r="GM16" s="165" t="str">
        <f t="shared" si="126"/>
        <v>n/a</v>
      </c>
      <c r="GN16" s="165">
        <f t="shared" si="127"/>
        <v>0.5035584418593455</v>
      </c>
      <c r="GO16" s="167">
        <f t="shared" si="128"/>
        <v>0.5928813585260122</v>
      </c>
      <c r="GP16" s="165">
        <f t="shared" si="129"/>
        <v>0.08932291666666667</v>
      </c>
      <c r="GQ16" s="165" t="str">
        <f t="shared" si="13"/>
        <v>n/a</v>
      </c>
      <c r="GR16" s="165">
        <f t="shared" si="130"/>
        <v>0.35249090930154187</v>
      </c>
      <c r="GS16" s="170">
        <f t="shared" si="131"/>
        <v>0.4418138259682085</v>
      </c>
      <c r="GT16" s="139"/>
      <c r="GU16" s="139"/>
      <c r="GV16" s="139"/>
      <c r="GW16" s="139"/>
      <c r="GX16" s="139"/>
      <c r="GY16" s="139"/>
      <c r="GZ16" s="139"/>
      <c r="HA16" s="139"/>
      <c r="HB16" s="139"/>
      <c r="HC16" s="139"/>
      <c r="HD16" s="139"/>
      <c r="HE16" s="139"/>
      <c r="HF16" s="139"/>
      <c r="HG16" s="139"/>
      <c r="HH16" s="139"/>
      <c r="HI16" s="139"/>
      <c r="HJ16" s="139"/>
      <c r="HK16" s="139"/>
      <c r="HL16" s="139"/>
      <c r="HM16" s="139"/>
      <c r="HN16" s="139"/>
      <c r="HO16" s="139"/>
      <c r="HP16" s="139"/>
      <c r="HQ16" s="139"/>
      <c r="HR16" s="139"/>
      <c r="HS16" s="139"/>
      <c r="HT16" s="139"/>
      <c r="HU16" s="139"/>
      <c r="HV16" s="139"/>
      <c r="HW16" s="139"/>
      <c r="HX16" s="139"/>
      <c r="HY16" s="139"/>
      <c r="HZ16" s="139"/>
      <c r="IA16" s="139"/>
      <c r="IB16" s="139"/>
      <c r="IC16" s="139"/>
      <c r="ID16" s="139"/>
      <c r="IE16" s="139"/>
      <c r="IF16" s="139"/>
      <c r="IG16" s="139"/>
      <c r="IH16" s="139"/>
      <c r="II16" s="139"/>
      <c r="IJ16" s="139"/>
      <c r="IK16" s="139"/>
      <c r="IL16" s="139"/>
      <c r="IM16" s="139"/>
      <c r="IN16" s="139"/>
    </row>
    <row r="17" spans="1:201" s="139" customFormat="1" ht="127.5" customHeight="1">
      <c r="A17" s="144"/>
      <c r="B17" s="145"/>
      <c r="C17" s="146" t="s">
        <v>387</v>
      </c>
      <c r="D17" s="142" t="s">
        <v>430</v>
      </c>
      <c r="E17" s="181" t="s">
        <v>396</v>
      </c>
      <c r="F17" s="182">
        <v>0.5</v>
      </c>
      <c r="G17" s="183"/>
      <c r="H17" s="119"/>
      <c r="I17" s="119" t="s">
        <v>388</v>
      </c>
      <c r="J17" s="119" t="s">
        <v>398</v>
      </c>
      <c r="K17" s="119">
        <v>4</v>
      </c>
      <c r="L17" s="119"/>
      <c r="M17" s="119"/>
      <c r="N17" s="119">
        <v>10</v>
      </c>
      <c r="O17" s="119">
        <v>20</v>
      </c>
      <c r="P17" s="150">
        <v>0.25</v>
      </c>
      <c r="Q17" s="151" t="str">
        <f t="shared" si="14"/>
        <v>n/a</v>
      </c>
      <c r="R17" s="132" t="str">
        <f t="shared" si="15"/>
        <v>n/a</v>
      </c>
      <c r="S17" s="143">
        <f t="shared" si="16"/>
        <v>5.708333333333334</v>
      </c>
      <c r="T17" s="143">
        <f t="shared" si="17"/>
        <v>1000</v>
      </c>
      <c r="U17" s="143">
        <f t="shared" si="18"/>
        <v>1000</v>
      </c>
      <c r="V17" s="152">
        <f t="shared" si="19"/>
        <v>5.708333333333334</v>
      </c>
      <c r="W17" s="153" t="str">
        <f t="shared" si="20"/>
        <v>n/a</v>
      </c>
      <c r="X17" s="154" t="str">
        <f t="shared" si="21"/>
        <v>n/a</v>
      </c>
      <c r="Y17" s="154" t="str">
        <f t="shared" si="22"/>
        <v>n/a</v>
      </c>
      <c r="Z17" s="154">
        <f t="shared" si="23"/>
        <v>14.285714285714286</v>
      </c>
      <c r="AA17" s="155">
        <f t="shared" si="24"/>
        <v>14.285714285714286</v>
      </c>
      <c r="AB17" s="85">
        <v>0.5</v>
      </c>
      <c r="AC17" s="88" t="s">
        <v>515</v>
      </c>
      <c r="AD17" s="607">
        <v>4</v>
      </c>
      <c r="AE17" s="133" t="s">
        <v>635</v>
      </c>
      <c r="AF17" s="574"/>
      <c r="AG17" s="178"/>
      <c r="AH17" s="297"/>
      <c r="AI17" s="297"/>
      <c r="AJ17" s="298"/>
      <c r="AK17" s="298"/>
      <c r="AL17" s="178"/>
      <c r="AM17" s="90"/>
      <c r="AN17" s="131"/>
      <c r="AO17" s="98">
        <v>0.1</v>
      </c>
      <c r="AP17" s="102" t="s">
        <v>577</v>
      </c>
      <c r="AQ17" s="312"/>
      <c r="AR17" s="101"/>
      <c r="AS17" s="142" t="s">
        <v>496</v>
      </c>
      <c r="AT17" s="120">
        <f t="shared" si="25"/>
        <v>0.6</v>
      </c>
      <c r="AU17" s="131" t="str">
        <f t="shared" si="132"/>
        <v>RIVM  general fact sheet</v>
      </c>
      <c r="AV17" s="131">
        <f t="shared" si="26"/>
        <v>0.9286134904996146</v>
      </c>
      <c r="AW17" s="156">
        <f t="shared" si="133"/>
        <v>20</v>
      </c>
      <c r="AX17" s="156" t="str">
        <f t="shared" si="134"/>
        <v>TRA default</v>
      </c>
      <c r="AY17" s="119">
        <v>0.25</v>
      </c>
      <c r="AZ17" s="184" t="s">
        <v>515</v>
      </c>
      <c r="BA17" s="125" t="str">
        <f t="shared" si="0"/>
        <v>n/a</v>
      </c>
      <c r="BB17" s="125" t="str">
        <f t="shared" si="1"/>
        <v>n/a</v>
      </c>
      <c r="BC17" s="120" t="str">
        <f t="shared" si="27"/>
        <v>n/a</v>
      </c>
      <c r="BD17" s="120" t="str">
        <f t="shared" si="2"/>
        <v>n/a</v>
      </c>
      <c r="BE17" s="120" t="str">
        <f t="shared" si="3"/>
        <v>n/a</v>
      </c>
      <c r="BF17" s="120">
        <f t="shared" si="4"/>
        <v>0.05300835341601967</v>
      </c>
      <c r="BG17" s="120">
        <f t="shared" si="28"/>
        <v>2.321533726249037</v>
      </c>
      <c r="BH17" s="120">
        <f t="shared" si="29"/>
      </c>
      <c r="BI17" s="120">
        <f t="shared" si="5"/>
        <v>0.09673057192704321</v>
      </c>
      <c r="BJ17" s="158">
        <f t="shared" si="30"/>
        <v>0.09673057192704321</v>
      </c>
      <c r="BK17" s="159">
        <f t="shared" si="31"/>
        <v>0.05300835341601967</v>
      </c>
      <c r="BL17" s="160" t="str">
        <f t="shared" si="32"/>
        <v>n/a</v>
      </c>
      <c r="BM17" s="161" t="str">
        <f t="shared" si="33"/>
        <v>n/a</v>
      </c>
      <c r="BN17" s="161" t="str">
        <f t="shared" si="34"/>
        <v>n/a</v>
      </c>
      <c r="BO17" s="162" t="str">
        <f t="shared" si="35"/>
        <v>n/a</v>
      </c>
      <c r="BP17" s="161">
        <f t="shared" si="36"/>
        <v>0.0013818653132434745</v>
      </c>
      <c r="BQ17" s="162">
        <f t="shared" si="37"/>
        <v>0.0013818653132434745</v>
      </c>
      <c r="BR17" s="161" t="str">
        <f t="shared" si="38"/>
        <v>n/a</v>
      </c>
      <c r="BS17" s="161" t="str">
        <f t="shared" si="39"/>
        <v>n/a</v>
      </c>
      <c r="BT17" s="161">
        <f t="shared" si="40"/>
        <v>0.0013818653132434745</v>
      </c>
      <c r="BU17" s="161">
        <f t="shared" si="41"/>
        <v>0.0013818653132434745</v>
      </c>
      <c r="BV17" s="163" t="str">
        <f t="shared" si="42"/>
        <v>Unless otherwise stated, covers concentrations up to 50% [ConsOC1]; covers use up to 365 days/year[ConsOC3]; covers use up to 4 times/on day of use[ConsOC4]; for each use event, covers use amounts up to 0,1g [ConsOC2]; covers use under typical household ventilation [ConsOC8]; covers use in room size of 20m3[ConsOC11]; for each use event, covers exposure up to 0,25hr/event[ConsOC14]; </v>
      </c>
      <c r="BW17" s="126" t="str">
        <f t="shared" si="43"/>
        <v>No specific RMMs identified beyond those OCs stated</v>
      </c>
      <c r="BX17" s="125" t="str">
        <f t="shared" si="44"/>
        <v>Based upon daily use</v>
      </c>
      <c r="BY17" s="120" t="str">
        <f t="shared" si="45"/>
        <v>n/a</v>
      </c>
      <c r="BZ17" s="120" t="str">
        <f t="shared" si="46"/>
        <v>n/a</v>
      </c>
      <c r="CA17" s="120">
        <f t="shared" si="47"/>
        <v>0.0013818653132434745</v>
      </c>
      <c r="CB17" s="164">
        <f t="shared" si="48"/>
        <v>0.0013818653132434745</v>
      </c>
      <c r="CC17" s="120" t="str">
        <f t="shared" si="49"/>
        <v>n/a</v>
      </c>
      <c r="CD17" s="120" t="str">
        <f t="shared" si="50"/>
        <v>n/a</v>
      </c>
      <c r="CE17" s="159">
        <f t="shared" si="51"/>
        <v>0.09673057192704321</v>
      </c>
      <c r="CF17" s="138"/>
      <c r="CG17" s="145" t="str">
        <f t="shared" si="6"/>
        <v>PC3:Air care products</v>
      </c>
      <c r="CH17" s="118" t="str">
        <f t="shared" si="6"/>
        <v>Air care, instant action (aerosol sprays)</v>
      </c>
      <c r="CI17" s="120" t="str">
        <f t="shared" si="52"/>
        <v>n/a</v>
      </c>
      <c r="CJ17" s="120" t="str">
        <f t="shared" si="53"/>
        <v>n/a</v>
      </c>
      <c r="CK17" s="120">
        <f t="shared" si="54"/>
        <v>0.09673057192704321</v>
      </c>
      <c r="CL17" s="165"/>
      <c r="CM17" s="165" t="str">
        <f t="shared" si="55"/>
        <v>n/a</v>
      </c>
      <c r="CN17" s="165" t="str">
        <f t="shared" si="56"/>
        <v>n/a</v>
      </c>
      <c r="CO17" s="165">
        <f t="shared" si="57"/>
        <v>0.19346114385408641</v>
      </c>
      <c r="CP17" s="598">
        <f>IF(SUM(CM17:CO17)&lt;$BZ$4,"",adjustparameter($AB17,0.01,SUM(CM17,CN17,CO17)/$AB17,$BZ$4))</f>
      </c>
      <c r="CQ17" s="166">
        <f t="shared" si="58"/>
      </c>
      <c r="CR17" s="599">
        <f>IF($CK17="n/a","",IF(SUM(CM17:CO17)&lt;$BZ$4,"",adjustparameter($AO17,0.5*$AO17,SUM(SUM(CO17)*CP17/$AB17/$AO17),($BZ$4-SUM(CM17:CN17)*CP17/$AB17))))</f>
      </c>
      <c r="CS17" s="166">
        <f t="shared" si="59"/>
      </c>
      <c r="CT17" s="165"/>
      <c r="CU17" s="166">
        <f t="shared" si="60"/>
      </c>
      <c r="CV17" s="124"/>
      <c r="CW17" s="166">
        <f t="shared" si="61"/>
      </c>
      <c r="CX17" s="595">
        <f t="shared" si="62"/>
      </c>
      <c r="CY17" s="165">
        <f>IF(CX17="","",VLOOKUP(CX17,Picklist!$C$2:$E$5,3))</f>
      </c>
      <c r="CZ17" s="594">
        <f t="shared" si="63"/>
      </c>
      <c r="DA17" s="165"/>
      <c r="DB17" s="166">
        <f t="shared" si="64"/>
      </c>
      <c r="DC17" s="165" t="str">
        <f t="shared" si="65"/>
        <v>n/a</v>
      </c>
      <c r="DD17" s="165" t="str">
        <f t="shared" si="66"/>
        <v>n/a</v>
      </c>
      <c r="DE17" s="165">
        <f t="shared" si="67"/>
        <v>0.09673057192704321</v>
      </c>
      <c r="DF17" s="165" t="str">
        <f t="shared" si="68"/>
        <v>n/a</v>
      </c>
      <c r="DG17" s="165" t="str">
        <f t="shared" si="69"/>
        <v>n/a</v>
      </c>
      <c r="DH17" s="165">
        <f t="shared" si="70"/>
        <v>0.0013818653132434745</v>
      </c>
      <c r="DI17" s="167">
        <f t="shared" si="71"/>
        <v>0.0013818653132434745</v>
      </c>
      <c r="DJ17" s="165" t="str">
        <f t="shared" si="72"/>
        <v>n/a</v>
      </c>
      <c r="DK17" s="165" t="str">
        <f t="shared" si="7"/>
        <v>n/a</v>
      </c>
      <c r="DL17" s="165">
        <f t="shared" si="73"/>
        <v>0.19346114385408641</v>
      </c>
      <c r="DM17" s="168">
        <f t="shared" si="74"/>
        <v>0.19346114385408641</v>
      </c>
      <c r="DN17" s="185"/>
      <c r="DO17" s="165" t="str">
        <f t="shared" si="75"/>
        <v>n/a</v>
      </c>
      <c r="DP17" s="165" t="str">
        <f t="shared" si="76"/>
        <v>n/a</v>
      </c>
      <c r="DQ17" s="165">
        <f t="shared" si="77"/>
        <v>0.01934611438540864</v>
      </c>
      <c r="DR17" s="598">
        <f>IF(SUM(DO17:DQ17)&lt;$BZ$4,"",adjustparameter($AB17,0.01,SUM(DO17,DP17,DQ17)/$AB17,$BZ$4))</f>
      </c>
      <c r="DS17" s="166">
        <f t="shared" si="78"/>
      </c>
      <c r="DT17" s="597">
        <f>IF($CK17="n/a","",IF(SUM(DO17:DQ17)&lt;$BZ$4,"",adjustparameter($AO17,0.5*$AO17,SUM(SUM(DQ17)*DR17/$AB17/$AO17),($BZ$4-SUM(DO17:DP17)*DR17/$AB17))))</f>
      </c>
      <c r="DU17" s="166">
        <f t="shared" si="8"/>
      </c>
      <c r="DV17" s="120"/>
      <c r="DW17" s="166">
        <f t="shared" si="79"/>
      </c>
      <c r="DX17" s="120"/>
      <c r="DY17" s="166">
        <f t="shared" si="80"/>
      </c>
      <c r="DZ17" s="595">
        <f t="shared" si="81"/>
      </c>
      <c r="EA17" s="165">
        <f>IF(DZ17="","",VLOOKUP(DZ17,Picklist!$C$2:$E$5,3))</f>
      </c>
      <c r="EB17" s="594">
        <f t="shared" si="82"/>
      </c>
      <c r="EC17" s="165"/>
      <c r="ED17" s="166">
        <f t="shared" si="83"/>
      </c>
      <c r="EE17" s="593" t="str">
        <f t="shared" si="84"/>
        <v>n/a</v>
      </c>
      <c r="EF17" s="594" t="str">
        <f t="shared" si="85"/>
        <v>n/a</v>
      </c>
      <c r="EG17" s="594">
        <f t="shared" si="86"/>
        <v>0.09673057192704321</v>
      </c>
      <c r="EH17" s="165" t="str">
        <f t="shared" si="87"/>
        <v>n/a</v>
      </c>
      <c r="EI17" s="165" t="str">
        <f t="shared" si="88"/>
        <v>n/a</v>
      </c>
      <c r="EJ17" s="165">
        <f t="shared" si="89"/>
        <v>0.0013818653132434745</v>
      </c>
      <c r="EK17" s="167">
        <f t="shared" si="90"/>
        <v>0.0013818653132434745</v>
      </c>
      <c r="EL17" s="165" t="str">
        <f t="shared" si="91"/>
        <v>n/a</v>
      </c>
      <c r="EM17" s="165" t="str">
        <f t="shared" si="9"/>
        <v>n/a</v>
      </c>
      <c r="EN17" s="165">
        <f t="shared" si="92"/>
        <v>0.01934611438540864</v>
      </c>
      <c r="EO17" s="168">
        <f t="shared" si="93"/>
        <v>0.01934611438540864</v>
      </c>
      <c r="EP17" s="126"/>
      <c r="EQ17" s="165" t="str">
        <f t="shared" si="94"/>
        <v>n/a</v>
      </c>
      <c r="ER17" s="165" t="str">
        <f t="shared" si="95"/>
        <v>n/a</v>
      </c>
      <c r="ES17" s="165">
        <f t="shared" si="96"/>
        <v>0.0038692228770817283</v>
      </c>
      <c r="ET17" s="596">
        <f>IF(SUM(EQ17:ES17)&lt;$BZ$4,"",adjustparameter($AB17,0.01,SUM(EQ17,ER17,ES17)/$AB17,$BZ$4))</f>
      </c>
      <c r="EU17" s="166">
        <f t="shared" si="97"/>
      </c>
      <c r="EV17" s="597">
        <f>IF($CK17="n/a","",IF(SUM(EQ17:ES17)&lt;$BZ$4,"",adjustparameter($AO17,0.5*$AO17,SUM(SUM(ES17)*ET17/$AB17/$AO17),($BZ$4-SUM(EQ17:ER17)*ET17/$AB17))))</f>
      </c>
      <c r="EW17" s="166">
        <f t="shared" si="98"/>
      </c>
      <c r="EX17" s="165"/>
      <c r="EY17" s="166">
        <f t="shared" si="99"/>
      </c>
      <c r="EZ17" s="177"/>
      <c r="FA17" s="166">
        <f t="shared" si="100"/>
      </c>
      <c r="FB17" s="595">
        <f t="shared" si="101"/>
      </c>
      <c r="FC17" s="165">
        <f>IF(FB17="","",VLOOKUP(FB17,Picklist!$C$2:$E$5,3))</f>
      </c>
      <c r="FD17" s="594">
        <f t="shared" si="102"/>
      </c>
      <c r="FE17" s="165"/>
      <c r="FF17" s="166">
        <f t="shared" si="10"/>
      </c>
      <c r="FG17" s="593" t="str">
        <f t="shared" si="103"/>
        <v>n/a</v>
      </c>
      <c r="FH17" s="594" t="str">
        <f t="shared" si="104"/>
        <v>n/a</v>
      </c>
      <c r="FI17" s="594">
        <f t="shared" si="105"/>
        <v>0.09673057192704321</v>
      </c>
      <c r="FJ17" s="165" t="str">
        <f t="shared" si="106"/>
        <v>n/a</v>
      </c>
      <c r="FK17" s="165" t="str">
        <f t="shared" si="107"/>
        <v>n/a</v>
      </c>
      <c r="FL17" s="165">
        <f t="shared" si="108"/>
        <v>0.0013818653132434745</v>
      </c>
      <c r="FM17" s="167">
        <f t="shared" si="109"/>
        <v>0.0013818653132434745</v>
      </c>
      <c r="FN17" s="165" t="str">
        <f t="shared" si="110"/>
        <v>n/a</v>
      </c>
      <c r="FO17" s="165" t="str">
        <f t="shared" si="11"/>
        <v>n/a</v>
      </c>
      <c r="FP17" s="165">
        <f t="shared" si="111"/>
        <v>0.0038692228770817283</v>
      </c>
      <c r="FQ17" s="168">
        <f t="shared" si="112"/>
        <v>0.0038692228770817283</v>
      </c>
      <c r="FR17" s="185"/>
      <c r="FS17" s="165" t="str">
        <f t="shared" si="113"/>
        <v>n/a</v>
      </c>
      <c r="FT17" s="165" t="str">
        <f t="shared" si="114"/>
        <v>n/a</v>
      </c>
      <c r="FU17" s="165">
        <f t="shared" si="115"/>
        <v>0.0009673057192704321</v>
      </c>
      <c r="FV17" s="596">
        <f>IF(SUM(FS17:FU17)&lt;$BZ$4,"",adjustparameter($AB17,0.01,SUM(FS17,FT17,FU17)/$AB17,$BZ$4))</f>
      </c>
      <c r="FW17" s="166">
        <f t="shared" si="116"/>
      </c>
      <c r="FX17" s="597">
        <f>IF($CK17="n/a","",IF(SUM(FS17:FU17)&lt;$BZ$4,"",adjustparameter($AO17,0.5*$AO17,SUM(SUM(FU17)*FV17/$AB17/$AO17),($BZ$4-SUM(FS17:FT17)*FV17/$AB17))))</f>
      </c>
      <c r="FY17" s="166">
        <f t="shared" si="117"/>
      </c>
      <c r="FZ17" s="165"/>
      <c r="GA17" s="166">
        <f t="shared" si="118"/>
      </c>
      <c r="GB17" s="165"/>
      <c r="GC17" s="166">
        <f t="shared" si="119"/>
      </c>
      <c r="GD17" s="595">
        <f t="shared" si="120"/>
      </c>
      <c r="GE17" s="165">
        <f>IF(GD17="","",VLOOKUP(GD17,Picklist!$C$2:$E$5,3))</f>
      </c>
      <c r="GF17" s="594">
        <f t="shared" si="121"/>
      </c>
      <c r="GG17" s="165"/>
      <c r="GH17" s="166">
        <f t="shared" si="12"/>
      </c>
      <c r="GI17" s="593" t="str">
        <f t="shared" si="122"/>
        <v>n/a</v>
      </c>
      <c r="GJ17" s="594" t="str">
        <f t="shared" si="123"/>
        <v>n/a</v>
      </c>
      <c r="GK17" s="594">
        <f t="shared" si="124"/>
        <v>0.09673057192704321</v>
      </c>
      <c r="GL17" s="165" t="str">
        <f t="shared" si="125"/>
        <v>n/a</v>
      </c>
      <c r="GM17" s="165" t="str">
        <f t="shared" si="126"/>
        <v>n/a</v>
      </c>
      <c r="GN17" s="165">
        <f t="shared" si="127"/>
        <v>0.0013818653132434745</v>
      </c>
      <c r="GO17" s="167">
        <f t="shared" si="128"/>
        <v>0.0013818653132434745</v>
      </c>
      <c r="GP17" s="165" t="str">
        <f t="shared" si="129"/>
        <v>n/a</v>
      </c>
      <c r="GQ17" s="165" t="str">
        <f t="shared" si="13"/>
        <v>n/a</v>
      </c>
      <c r="GR17" s="165">
        <f t="shared" si="130"/>
        <v>0.0009673057192704321</v>
      </c>
      <c r="GS17" s="170">
        <f t="shared" si="131"/>
        <v>0.0009673057192704321</v>
      </c>
    </row>
    <row r="18" spans="1:201" s="139" customFormat="1" ht="118.5">
      <c r="A18" s="144"/>
      <c r="B18" s="145"/>
      <c r="C18" s="146" t="s">
        <v>387</v>
      </c>
      <c r="D18" s="142" t="s">
        <v>430</v>
      </c>
      <c r="E18" s="181" t="s">
        <v>431</v>
      </c>
      <c r="F18" s="179">
        <v>0.1</v>
      </c>
      <c r="G18" s="121" t="s">
        <v>388</v>
      </c>
      <c r="H18" s="121"/>
      <c r="I18" s="121" t="s">
        <v>388</v>
      </c>
      <c r="J18" s="121" t="s">
        <v>139</v>
      </c>
      <c r="K18" s="121">
        <v>1</v>
      </c>
      <c r="L18" s="121">
        <v>35.7</v>
      </c>
      <c r="M18" s="121"/>
      <c r="N18" s="121">
        <v>50</v>
      </c>
      <c r="O18" s="121">
        <v>20</v>
      </c>
      <c r="P18" s="176">
        <v>8</v>
      </c>
      <c r="Q18" s="151">
        <f t="shared" si="14"/>
        <v>0.059500000000000004</v>
      </c>
      <c r="R18" s="132" t="str">
        <f t="shared" si="15"/>
        <v>n/a</v>
      </c>
      <c r="S18" s="143">
        <f t="shared" si="16"/>
        <v>45.66666666666667</v>
      </c>
      <c r="T18" s="143">
        <f t="shared" si="17"/>
        <v>250</v>
      </c>
      <c r="U18" s="143">
        <f t="shared" si="18"/>
        <v>250</v>
      </c>
      <c r="V18" s="152">
        <f t="shared" si="19"/>
        <v>45.72616666666667</v>
      </c>
      <c r="W18" s="153">
        <f t="shared" si="20"/>
        <v>0.002975</v>
      </c>
      <c r="X18" s="154" t="str">
        <f t="shared" si="21"/>
        <v>n/a</v>
      </c>
      <c r="Y18" s="154" t="str">
        <f t="shared" si="22"/>
        <v>n/a</v>
      </c>
      <c r="Z18" s="154">
        <f t="shared" si="23"/>
        <v>3.5714285714285716</v>
      </c>
      <c r="AA18" s="155">
        <f t="shared" si="24"/>
        <v>3.574403571428572</v>
      </c>
      <c r="AB18" s="96">
        <v>0.1</v>
      </c>
      <c r="AC18" s="89" t="s">
        <v>515</v>
      </c>
      <c r="AD18" s="608">
        <v>1</v>
      </c>
      <c r="AE18" s="133" t="s">
        <v>636</v>
      </c>
      <c r="AF18" s="92">
        <v>35.7</v>
      </c>
      <c r="AG18" s="178" t="s">
        <v>515</v>
      </c>
      <c r="AH18" s="297"/>
      <c r="AI18" s="297"/>
      <c r="AJ18" s="299"/>
      <c r="AK18" s="299"/>
      <c r="AL18" s="178"/>
      <c r="AM18" s="90"/>
      <c r="AN18" s="131"/>
      <c r="AO18" s="92">
        <v>0.48</v>
      </c>
      <c r="AP18" s="101" t="s">
        <v>553</v>
      </c>
      <c r="AQ18" s="312"/>
      <c r="AR18" s="101"/>
      <c r="AS18" s="142" t="s">
        <v>496</v>
      </c>
      <c r="AT18" s="120">
        <f t="shared" si="25"/>
        <v>0.6</v>
      </c>
      <c r="AU18" s="131" t="str">
        <f t="shared" si="132"/>
        <v>RIVM  general fact sheet</v>
      </c>
      <c r="AV18" s="131">
        <f t="shared" si="26"/>
        <v>0.20661880269812083</v>
      </c>
      <c r="AW18" s="156">
        <f t="shared" si="133"/>
        <v>20</v>
      </c>
      <c r="AX18" s="156" t="str">
        <f t="shared" si="134"/>
        <v>TRA default</v>
      </c>
      <c r="AY18" s="121">
        <v>8</v>
      </c>
      <c r="AZ18" s="184" t="s">
        <v>515</v>
      </c>
      <c r="BA18" s="125">
        <f t="shared" si="0"/>
        <v>0.059500000000000004</v>
      </c>
      <c r="BB18" s="125">
        <f t="shared" si="1"/>
        <v>0.059500000000000004</v>
      </c>
      <c r="BC18" s="120">
        <f t="shared" si="27"/>
        <v>0.1</v>
      </c>
      <c r="BD18" s="120" t="str">
        <f t="shared" si="2"/>
        <v>n/a</v>
      </c>
      <c r="BE18" s="120" t="str">
        <f t="shared" si="3"/>
        <v>n/a</v>
      </c>
      <c r="BF18" s="120">
        <f t="shared" si="4"/>
        <v>0.09058168310285618</v>
      </c>
      <c r="BG18" s="120">
        <f t="shared" si="28"/>
        <v>0.4958851264754901</v>
      </c>
      <c r="BH18" s="120">
        <f t="shared" si="29"/>
      </c>
      <c r="BI18" s="120">
        <f t="shared" si="5"/>
        <v>0.1652950421584967</v>
      </c>
      <c r="BJ18" s="158">
        <f t="shared" si="30"/>
        <v>0.1652950421584967</v>
      </c>
      <c r="BK18" s="159">
        <f t="shared" si="31"/>
        <v>0.1500816831028562</v>
      </c>
      <c r="BL18" s="160" t="str">
        <f t="shared" si="32"/>
        <v>n/a</v>
      </c>
      <c r="BM18" s="161" t="str">
        <f t="shared" si="33"/>
        <v>n/a</v>
      </c>
      <c r="BN18" s="161">
        <f t="shared" si="34"/>
        <v>0.002975</v>
      </c>
      <c r="BO18" s="162" t="str">
        <f t="shared" si="35"/>
        <v>n/a</v>
      </c>
      <c r="BP18" s="161">
        <f t="shared" si="36"/>
        <v>0.0023613577451213814</v>
      </c>
      <c r="BQ18" s="162">
        <f t="shared" si="37"/>
        <v>0.005336357745121381</v>
      </c>
      <c r="BR18" s="161">
        <f t="shared" si="38"/>
        <v>0.002975</v>
      </c>
      <c r="BS18" s="161" t="str">
        <f t="shared" si="39"/>
        <v>n/a</v>
      </c>
      <c r="BT18" s="161">
        <f t="shared" si="40"/>
        <v>0.0023613577451213814</v>
      </c>
      <c r="BU18" s="161">
        <f t="shared" si="41"/>
        <v>0.005336357745121381</v>
      </c>
      <c r="BV18" s="163" t="str">
        <f t="shared" si="42"/>
        <v>Unless otherwise stated, covers concentrations up to 10% [ConsOC1]; covers use up to 364 days/year[ConsOC3]; covers use up to 1 time/on day of use[ConsOC4]; covers skin contact area up to 35,70 cm2 [ConsOC5]; for each use event, covers use amounts up to 0,48g [ConsOC2]; covers use under typical household ventilation [ConsOC8]; covers use in room size of 20m3[ConsOC11]; for each use event, covers exposure up to 8,00hr/event[ConsOC14]; </v>
      </c>
      <c r="BW18" s="126" t="str">
        <f t="shared" si="43"/>
        <v>No specific RMMs identified beyond those OCs stated</v>
      </c>
      <c r="BX18" s="125" t="str">
        <f t="shared" si="44"/>
        <v>Based upon daily use</v>
      </c>
      <c r="BY18" s="120">
        <f t="shared" si="45"/>
        <v>0.002975</v>
      </c>
      <c r="BZ18" s="120" t="str">
        <f t="shared" si="46"/>
        <v>n/a</v>
      </c>
      <c r="CA18" s="120">
        <f t="shared" si="47"/>
        <v>0.0023613577451213814</v>
      </c>
      <c r="CB18" s="164">
        <f t="shared" si="48"/>
        <v>0.005336357745121381</v>
      </c>
      <c r="CC18" s="120">
        <f t="shared" si="49"/>
        <v>0.059500000000000004</v>
      </c>
      <c r="CD18" s="120" t="str">
        <f t="shared" si="50"/>
        <v>n/a</v>
      </c>
      <c r="CE18" s="159">
        <f t="shared" si="51"/>
        <v>0.1652950421584967</v>
      </c>
      <c r="CF18" s="138"/>
      <c r="CG18" s="145" t="str">
        <f t="shared" si="6"/>
        <v>PC3:Air care products</v>
      </c>
      <c r="CH18" s="118" t="str">
        <f t="shared" si="6"/>
        <v>Air care, continuous action (solid and liquid)</v>
      </c>
      <c r="CI18" s="120">
        <f t="shared" si="52"/>
        <v>0.059500000000000004</v>
      </c>
      <c r="CJ18" s="120" t="str">
        <f t="shared" si="53"/>
        <v>n/a</v>
      </c>
      <c r="CK18" s="120">
        <f t="shared" si="54"/>
        <v>0.1652950421584967</v>
      </c>
      <c r="CL18" s="165"/>
      <c r="CM18" s="165">
        <f t="shared" si="55"/>
        <v>0.595</v>
      </c>
      <c r="CN18" s="165" t="str">
        <f t="shared" si="56"/>
        <v>n/a</v>
      </c>
      <c r="CO18" s="165">
        <f t="shared" si="57"/>
        <v>0.3305900843169934</v>
      </c>
      <c r="CP18" s="598">
        <f>IF(SUM(CM18:CO18)&lt;$BZ$4,"",adjustparameter($AB18,0.01,SUM(CM18,CN18,CO18)/$AB18,$BZ$4))</f>
        <v>0.09723526810079469</v>
      </c>
      <c r="CQ18" s="166">
        <f t="shared" si="58"/>
        <v>0.027647318992053138</v>
      </c>
      <c r="CR18" s="599">
        <f>IF($CK18="n/a","",IF(SUM(CM18:CO18)&lt;$BZ$4,"",adjustparameter($AO18,0.5*$AO18,SUM(SUM(CO18)*CP18/$AB18/$AO18),($BZ$4-SUM(CM18:CN18)*CP18/$AB18))))</f>
        <v>0.4799999999999998</v>
      </c>
      <c r="CS18" s="166">
        <f t="shared" si="59"/>
        <v>3.469446951953614E-16</v>
      </c>
      <c r="CT18" s="165"/>
      <c r="CU18" s="166">
        <f t="shared" si="60"/>
      </c>
      <c r="CV18" s="124"/>
      <c r="CW18" s="166">
        <f t="shared" si="61"/>
      </c>
      <c r="CX18" s="595">
        <f t="shared" si="62"/>
      </c>
      <c r="CY18" s="165">
        <f>IF(CX18="","",VLOOKUP(CX18,Picklist!$C$2:$E$5,3))</f>
      </c>
      <c r="CZ18" s="594">
        <f t="shared" si="63"/>
      </c>
      <c r="DA18" s="165"/>
      <c r="DB18" s="166">
        <f t="shared" si="64"/>
      </c>
      <c r="DC18" s="165">
        <f t="shared" si="65"/>
        <v>0.05785498451997284</v>
      </c>
      <c r="DD18" s="165" t="str">
        <f t="shared" si="66"/>
        <v>n/a</v>
      </c>
      <c r="DE18" s="165">
        <f t="shared" si="67"/>
        <v>0.1607250774001358</v>
      </c>
      <c r="DF18" s="165">
        <f t="shared" si="68"/>
        <v>0.002892749225998642</v>
      </c>
      <c r="DG18" s="165" t="str">
        <f t="shared" si="69"/>
        <v>n/a</v>
      </c>
      <c r="DH18" s="165">
        <f t="shared" si="70"/>
        <v>0.002296072534287654</v>
      </c>
      <c r="DI18" s="167">
        <f t="shared" si="71"/>
        <v>0.005188821760286296</v>
      </c>
      <c r="DJ18" s="165">
        <f t="shared" si="72"/>
        <v>0.5785498451997284</v>
      </c>
      <c r="DK18" s="165" t="str">
        <f t="shared" si="7"/>
        <v>n/a</v>
      </c>
      <c r="DL18" s="165">
        <f t="shared" si="73"/>
        <v>0.3214501548002716</v>
      </c>
      <c r="DM18" s="168">
        <f t="shared" si="74"/>
        <v>0.9</v>
      </c>
      <c r="DN18" s="185"/>
      <c r="DO18" s="165">
        <f t="shared" si="75"/>
        <v>0.059500000000000004</v>
      </c>
      <c r="DP18" s="165" t="str">
        <f t="shared" si="76"/>
        <v>n/a</v>
      </c>
      <c r="DQ18" s="165">
        <f t="shared" si="77"/>
        <v>0.03305900843169934</v>
      </c>
      <c r="DR18" s="598">
        <f>IF(SUM(DO18:DQ18)&lt;$BZ$4,"",adjustparameter($AB18,0.01,SUM(DO18,DP18,DQ18)/$AB18,$BZ$4))</f>
      </c>
      <c r="DS18" s="166">
        <f t="shared" si="78"/>
      </c>
      <c r="DT18" s="597">
        <f>IF($CK18="n/a","",IF(SUM(DO18:DQ18)&lt;$BZ$4,"",adjustparameter($AO18,0.5*$AO18,SUM(SUM(DQ18)*DR18/$AB18/$AO18),($BZ$4-SUM(DO18:DP18)*DR18/$AB18))))</f>
      </c>
      <c r="DU18" s="166">
        <f t="shared" si="8"/>
      </c>
      <c r="DV18" s="186"/>
      <c r="DW18" s="166">
        <f t="shared" si="79"/>
      </c>
      <c r="DX18" s="186"/>
      <c r="DY18" s="166">
        <f t="shared" si="80"/>
      </c>
      <c r="DZ18" s="595">
        <f t="shared" si="81"/>
      </c>
      <c r="EA18" s="165">
        <f>IF(DZ18="","",VLOOKUP(DZ18,Picklist!$C$2:$E$5,3))</f>
      </c>
      <c r="EB18" s="594">
        <f t="shared" si="82"/>
      </c>
      <c r="EC18" s="165"/>
      <c r="ED18" s="166">
        <f t="shared" si="83"/>
      </c>
      <c r="EE18" s="593">
        <f t="shared" si="84"/>
        <v>0.059500000000000004</v>
      </c>
      <c r="EF18" s="594" t="str">
        <f t="shared" si="85"/>
        <v>n/a</v>
      </c>
      <c r="EG18" s="594">
        <f t="shared" si="86"/>
        <v>0.1652950421584967</v>
      </c>
      <c r="EH18" s="165">
        <f t="shared" si="87"/>
        <v>0.002975</v>
      </c>
      <c r="EI18" s="165" t="str">
        <f t="shared" si="88"/>
        <v>n/a</v>
      </c>
      <c r="EJ18" s="165">
        <f t="shared" si="89"/>
        <v>0.0023613577451213814</v>
      </c>
      <c r="EK18" s="167">
        <f t="shared" si="90"/>
        <v>0.005336357745121381</v>
      </c>
      <c r="EL18" s="165">
        <f t="shared" si="91"/>
        <v>0.059500000000000004</v>
      </c>
      <c r="EM18" s="165" t="str">
        <f t="shared" si="9"/>
        <v>n/a</v>
      </c>
      <c r="EN18" s="165">
        <f t="shared" si="92"/>
        <v>0.03305900843169934</v>
      </c>
      <c r="EO18" s="168">
        <f t="shared" si="93"/>
        <v>0.09255900843169934</v>
      </c>
      <c r="EP18" s="185"/>
      <c r="EQ18" s="165">
        <f t="shared" si="94"/>
        <v>0.0119</v>
      </c>
      <c r="ER18" s="165" t="str">
        <f t="shared" si="95"/>
        <v>n/a</v>
      </c>
      <c r="ES18" s="165">
        <f t="shared" si="96"/>
        <v>0.006611801686339867</v>
      </c>
      <c r="ET18" s="596">
        <f>IF(SUM(EQ18:ES18)&lt;$BZ$4,"",adjustparameter($AB18,0.01,SUM(EQ18,ER18,ES18)/$AB18,$BZ$4))</f>
      </c>
      <c r="EU18" s="166">
        <f t="shared" si="97"/>
      </c>
      <c r="EV18" s="597">
        <f>IF($CK18="n/a","",IF(SUM(EQ18:ES18)&lt;$BZ$4,"",adjustparameter($AO18,0.5*$AO18,SUM(SUM(ES18)*ET18/$AB18/$AO18),($BZ$4-SUM(EQ18:ER18)*ET18/$AB18))))</f>
      </c>
      <c r="EW18" s="166">
        <f t="shared" si="98"/>
      </c>
      <c r="EX18" s="165"/>
      <c r="EY18" s="166">
        <f t="shared" si="99"/>
      </c>
      <c r="EZ18" s="177"/>
      <c r="FA18" s="166">
        <f t="shared" si="100"/>
      </c>
      <c r="FB18" s="595">
        <f t="shared" si="101"/>
      </c>
      <c r="FC18" s="165">
        <f>IF(FB18="","",VLOOKUP(FB18,Picklist!$C$2:$E$5,3))</f>
      </c>
      <c r="FD18" s="594">
        <f t="shared" si="102"/>
      </c>
      <c r="FE18" s="165"/>
      <c r="FF18" s="166">
        <f t="shared" si="10"/>
      </c>
      <c r="FG18" s="593">
        <f t="shared" si="103"/>
        <v>0.059500000000000004</v>
      </c>
      <c r="FH18" s="594" t="str">
        <f t="shared" si="104"/>
        <v>n/a</v>
      </c>
      <c r="FI18" s="594">
        <f t="shared" si="105"/>
        <v>0.1652950421584967</v>
      </c>
      <c r="FJ18" s="165">
        <f t="shared" si="106"/>
        <v>0.002975</v>
      </c>
      <c r="FK18" s="165" t="str">
        <f t="shared" si="107"/>
        <v>n/a</v>
      </c>
      <c r="FL18" s="165">
        <f t="shared" si="108"/>
        <v>0.0023613577451213814</v>
      </c>
      <c r="FM18" s="167">
        <f t="shared" si="109"/>
        <v>0.005336357745121381</v>
      </c>
      <c r="FN18" s="165">
        <f t="shared" si="110"/>
        <v>0.0119</v>
      </c>
      <c r="FO18" s="165" t="str">
        <f t="shared" si="11"/>
        <v>n/a</v>
      </c>
      <c r="FP18" s="165">
        <f t="shared" si="111"/>
        <v>0.006611801686339867</v>
      </c>
      <c r="FQ18" s="168">
        <f t="shared" si="112"/>
        <v>0.018511801686339868</v>
      </c>
      <c r="FR18" s="185"/>
      <c r="FS18" s="165">
        <f t="shared" si="113"/>
        <v>0.002975</v>
      </c>
      <c r="FT18" s="165" t="str">
        <f t="shared" si="114"/>
        <v>n/a</v>
      </c>
      <c r="FU18" s="165">
        <f t="shared" si="115"/>
        <v>0.0016529504215849668</v>
      </c>
      <c r="FV18" s="596">
        <f>IF(SUM(FS18:FU18)&lt;$BZ$4,"",adjustparameter($AB18,0.01,SUM(FS18,FT18,FU18)/$AB18,$BZ$4))</f>
      </c>
      <c r="FW18" s="166">
        <f t="shared" si="116"/>
      </c>
      <c r="FX18" s="597">
        <f>IF($CK18="n/a","",IF(SUM(FS18:FU18)&lt;$BZ$4,"",adjustparameter($AO18,0.5*$AO18,SUM(SUM(FU18)*FV18/$AB18/$AO18),($BZ$4-SUM(FS18:FT18)*FV18/$AB18))))</f>
      </c>
      <c r="FY18" s="166">
        <f t="shared" si="117"/>
      </c>
      <c r="FZ18" s="165"/>
      <c r="GA18" s="166">
        <f t="shared" si="118"/>
      </c>
      <c r="GB18" s="165"/>
      <c r="GC18" s="166">
        <f t="shared" si="119"/>
      </c>
      <c r="GD18" s="595">
        <f t="shared" si="120"/>
      </c>
      <c r="GE18" s="165">
        <f>IF(GD18="","",VLOOKUP(GD18,Picklist!$C$2:$E$5,3))</f>
      </c>
      <c r="GF18" s="594">
        <f t="shared" si="121"/>
      </c>
      <c r="GG18" s="165"/>
      <c r="GH18" s="166">
        <f t="shared" si="12"/>
      </c>
      <c r="GI18" s="593">
        <f t="shared" si="122"/>
        <v>0.059500000000000004</v>
      </c>
      <c r="GJ18" s="594" t="str">
        <f t="shared" si="123"/>
        <v>n/a</v>
      </c>
      <c r="GK18" s="594">
        <f t="shared" si="124"/>
        <v>0.1652950421584967</v>
      </c>
      <c r="GL18" s="165">
        <f t="shared" si="125"/>
        <v>0.002975</v>
      </c>
      <c r="GM18" s="165" t="str">
        <f t="shared" si="126"/>
        <v>n/a</v>
      </c>
      <c r="GN18" s="165">
        <f t="shared" si="127"/>
        <v>0.0023613577451213814</v>
      </c>
      <c r="GO18" s="167">
        <f t="shared" si="128"/>
        <v>0.005336357745121381</v>
      </c>
      <c r="GP18" s="165">
        <f t="shared" si="129"/>
        <v>0.002975</v>
      </c>
      <c r="GQ18" s="165" t="str">
        <f t="shared" si="13"/>
        <v>n/a</v>
      </c>
      <c r="GR18" s="165">
        <f t="shared" si="130"/>
        <v>0.0016529504215849668</v>
      </c>
      <c r="GS18" s="170">
        <f t="shared" si="131"/>
        <v>0.004627950421584967</v>
      </c>
    </row>
    <row r="19" spans="1:248" s="171" customFormat="1" ht="102.75" customHeight="1">
      <c r="A19" s="139"/>
      <c r="B19" s="145"/>
      <c r="C19" s="187" t="s">
        <v>387</v>
      </c>
      <c r="D19" s="188" t="s">
        <v>64</v>
      </c>
      <c r="E19" s="189" t="s">
        <v>238</v>
      </c>
      <c r="F19" s="190">
        <v>0.01</v>
      </c>
      <c r="G19" s="191"/>
      <c r="H19" s="191"/>
      <c r="I19" s="128" t="s">
        <v>388</v>
      </c>
      <c r="J19" s="128" t="s">
        <v>139</v>
      </c>
      <c r="K19" s="191">
        <v>1</v>
      </c>
      <c r="L19" s="191"/>
      <c r="M19" s="191"/>
      <c r="N19" s="118">
        <v>0.5</v>
      </c>
      <c r="O19" s="118">
        <v>34</v>
      </c>
      <c r="P19" s="140">
        <f>1/60</f>
        <v>0.016666666666666666</v>
      </c>
      <c r="Q19" s="151" t="str">
        <f t="shared" si="14"/>
        <v>n/a</v>
      </c>
      <c r="R19" s="132" t="str">
        <f t="shared" si="15"/>
        <v>n/a</v>
      </c>
      <c r="S19" s="143">
        <f t="shared" si="16"/>
        <v>5.5964052287581696E-05</v>
      </c>
      <c r="T19" s="143">
        <f t="shared" si="17"/>
        <v>0.14705882352941177</v>
      </c>
      <c r="U19" s="143">
        <f t="shared" si="18"/>
        <v>0.14705882352941177</v>
      </c>
      <c r="V19" s="152">
        <f t="shared" si="19"/>
        <v>5.5964052287581696E-05</v>
      </c>
      <c r="W19" s="153" t="str">
        <f t="shared" si="20"/>
        <v>n/a</v>
      </c>
      <c r="X19" s="154" t="str">
        <f t="shared" si="21"/>
        <v>n/a</v>
      </c>
      <c r="Y19" s="154" t="str">
        <f t="shared" si="22"/>
        <v>n/a</v>
      </c>
      <c r="Z19" s="154">
        <f t="shared" si="23"/>
        <v>0.0021008403361344537</v>
      </c>
      <c r="AA19" s="155">
        <f t="shared" si="24"/>
        <v>0.0021008403361344537</v>
      </c>
      <c r="AB19" s="95">
        <v>0.01</v>
      </c>
      <c r="AC19" s="104" t="s">
        <v>289</v>
      </c>
      <c r="AD19" s="156">
        <v>1</v>
      </c>
      <c r="AE19" s="118" t="s">
        <v>637</v>
      </c>
      <c r="AF19" s="81"/>
      <c r="AG19" s="127"/>
      <c r="AH19" s="81"/>
      <c r="AI19" s="105"/>
      <c r="AJ19" s="95"/>
      <c r="AK19" s="95"/>
      <c r="AL19" s="129"/>
      <c r="AM19" s="81"/>
      <c r="AN19" s="193"/>
      <c r="AO19" s="95">
        <v>0.5</v>
      </c>
      <c r="AP19" s="104" t="s">
        <v>289</v>
      </c>
      <c r="AQ19" s="87"/>
      <c r="AR19" s="81"/>
      <c r="AS19" s="118" t="s">
        <v>498</v>
      </c>
      <c r="AT19" s="120">
        <f t="shared" si="25"/>
        <v>1.5</v>
      </c>
      <c r="AU19" s="131" t="str">
        <f t="shared" si="132"/>
        <v>RIVM  general fact sheet</v>
      </c>
      <c r="AV19" s="131">
        <f t="shared" si="26"/>
        <v>0.9873576876179965</v>
      </c>
      <c r="AW19" s="156">
        <f t="shared" si="133"/>
        <v>34</v>
      </c>
      <c r="AX19" s="156" t="str">
        <f t="shared" si="134"/>
        <v>RIVM general fact sheet</v>
      </c>
      <c r="AY19" s="120">
        <v>0.017</v>
      </c>
      <c r="AZ19" s="184" t="s">
        <v>289</v>
      </c>
      <c r="BA19" s="125" t="str">
        <f t="shared" si="0"/>
        <v>n/a</v>
      </c>
      <c r="BB19" s="125" t="str">
        <f t="shared" si="1"/>
        <v>n/a</v>
      </c>
      <c r="BC19" s="120" t="str">
        <f t="shared" si="27"/>
        <v>n/a</v>
      </c>
      <c r="BD19" s="120" t="str">
        <f t="shared" si="2"/>
        <v>n/a</v>
      </c>
      <c r="BE19" s="120" t="str">
        <f t="shared" si="3"/>
        <v>n/a</v>
      </c>
      <c r="BF19" s="120">
        <f t="shared" si="4"/>
        <v>5.6361668001527294E-05</v>
      </c>
      <c r="BG19" s="120">
        <f t="shared" si="28"/>
        <v>0.14519965994382303</v>
      </c>
      <c r="BH19" s="120">
        <f t="shared" si="29"/>
      </c>
      <c r="BI19" s="120">
        <f t="shared" si="5"/>
        <v>0.00010284975912687466</v>
      </c>
      <c r="BJ19" s="158">
        <f t="shared" si="30"/>
        <v>0.00010284975912687466</v>
      </c>
      <c r="BK19" s="159">
        <f t="shared" si="31"/>
        <v>5.6361668001527294E-05</v>
      </c>
      <c r="BL19" s="160" t="str">
        <f t="shared" si="32"/>
        <v>n/a</v>
      </c>
      <c r="BM19" s="161" t="str">
        <f t="shared" si="33"/>
        <v>n/a</v>
      </c>
      <c r="BN19" s="161" t="str">
        <f t="shared" si="34"/>
        <v>n/a</v>
      </c>
      <c r="BO19" s="162" t="str">
        <f t="shared" si="35"/>
        <v>n/a</v>
      </c>
      <c r="BP19" s="161">
        <f t="shared" si="36"/>
        <v>1.4692822732410667E-06</v>
      </c>
      <c r="BQ19" s="162">
        <f t="shared" si="37"/>
        <v>1.4692822732410667E-06</v>
      </c>
      <c r="BR19" s="161" t="str">
        <f t="shared" si="38"/>
        <v>n/a</v>
      </c>
      <c r="BS19" s="161" t="str">
        <f t="shared" si="39"/>
        <v>n/a</v>
      </c>
      <c r="BT19" s="161">
        <f t="shared" si="40"/>
        <v>1.4692822732410667E-06</v>
      </c>
      <c r="BU19" s="161">
        <f t="shared" si="41"/>
        <v>1.4692822732410667E-06</v>
      </c>
      <c r="BV19" s="163" t="str">
        <f t="shared" si="42"/>
        <v>Unless otherwise stated, covers concentrations up to 1% [ConsOC1]; covers use up to 364 days/year[ConsOC3]; covers use up to 1 time/on day of use[ConsOC4]; for each use event, covers use amounts up to 0,5g [ConsOC2]; Covers use in a one car garage (34m3) under typcial ventilation [ConsOC10]; covers use in room size of 34m3[ConsOC11]; for each use event, covers exposure up to 0,02hr/event[ConsOC14]; </v>
      </c>
      <c r="BW19" s="126" t="str">
        <f t="shared" si="43"/>
        <v>No specific RMMs identified beyond those OCs stated</v>
      </c>
      <c r="BX19" s="125" t="str">
        <f t="shared" si="44"/>
        <v>Based upon daily use</v>
      </c>
      <c r="BY19" s="120" t="str">
        <f t="shared" si="45"/>
        <v>n/a</v>
      </c>
      <c r="BZ19" s="120" t="str">
        <f t="shared" si="46"/>
        <v>n/a</v>
      </c>
      <c r="CA19" s="120">
        <f t="shared" si="47"/>
        <v>1.4692822732410667E-06</v>
      </c>
      <c r="CB19" s="164">
        <f t="shared" si="48"/>
        <v>1.4692822732410667E-06</v>
      </c>
      <c r="CC19" s="120" t="str">
        <f t="shared" si="49"/>
        <v>n/a</v>
      </c>
      <c r="CD19" s="120" t="str">
        <f t="shared" si="50"/>
        <v>n/a</v>
      </c>
      <c r="CE19" s="159">
        <f t="shared" si="51"/>
        <v>0.00010284975912687466</v>
      </c>
      <c r="CF19" s="194"/>
      <c r="CG19" s="195" t="str">
        <f t="shared" si="6"/>
        <v>PC4_n:Anti-freeze and de-icing products</v>
      </c>
      <c r="CH19" s="196" t="str">
        <f t="shared" si="6"/>
        <v>Washing car window</v>
      </c>
      <c r="CI19" s="120" t="str">
        <f t="shared" si="52"/>
        <v>n/a</v>
      </c>
      <c r="CJ19" s="120" t="str">
        <f t="shared" si="53"/>
        <v>n/a</v>
      </c>
      <c r="CK19" s="120">
        <f t="shared" si="54"/>
        <v>0.00010284975912687466</v>
      </c>
      <c r="CL19" s="124"/>
      <c r="CM19" s="165" t="str">
        <f t="shared" si="55"/>
        <v>n/a</v>
      </c>
      <c r="CN19" s="165" t="str">
        <f t="shared" si="56"/>
        <v>n/a</v>
      </c>
      <c r="CO19" s="165">
        <f t="shared" si="57"/>
        <v>0.00020569951825374932</v>
      </c>
      <c r="CP19" s="598">
        <f>IF(SUM(CM19:CO19)&lt;$BZ$4,"",adjustparameter($AB19,0.01,SUM(CM19,CN19,CO19)/$AB19,$BZ$4))</f>
      </c>
      <c r="CQ19" s="166">
        <f t="shared" si="58"/>
      </c>
      <c r="CR19" s="599">
        <f>IF($CK19="n/a","",IF(SUM(CM19:CO19)&lt;$BZ$4,"",adjustparameter($AO19,0.5*$AO19,SUM(SUM(CO19)*CP19/$AB19/$AO19),($BZ$4-SUM(CM19:CN19)*CP19/$AB19))))</f>
      </c>
      <c r="CS19" s="166">
        <f t="shared" si="59"/>
      </c>
      <c r="CT19" s="124"/>
      <c r="CU19" s="166">
        <f t="shared" si="60"/>
      </c>
      <c r="CV19" s="124"/>
      <c r="CW19" s="166">
        <f t="shared" si="61"/>
      </c>
      <c r="CX19" s="595">
        <f t="shared" si="62"/>
      </c>
      <c r="CY19" s="165">
        <f>IF(CX19="","",VLOOKUP(CX19,Picklist!$C$2:$E$5,3))</f>
      </c>
      <c r="CZ19" s="594">
        <f t="shared" si="63"/>
      </c>
      <c r="DA19" s="165"/>
      <c r="DB19" s="166">
        <f t="shared" si="64"/>
      </c>
      <c r="DC19" s="165" t="str">
        <f t="shared" si="65"/>
        <v>n/a</v>
      </c>
      <c r="DD19" s="165" t="str">
        <f t="shared" si="66"/>
        <v>n/a</v>
      </c>
      <c r="DE19" s="165">
        <f t="shared" si="67"/>
        <v>0.00010284975912687466</v>
      </c>
      <c r="DF19" s="165" t="str">
        <f t="shared" si="68"/>
        <v>n/a</v>
      </c>
      <c r="DG19" s="165" t="str">
        <f t="shared" si="69"/>
        <v>n/a</v>
      </c>
      <c r="DH19" s="165">
        <f t="shared" si="70"/>
        <v>1.4692822732410667E-06</v>
      </c>
      <c r="DI19" s="167">
        <f t="shared" si="71"/>
        <v>1.4692822732410667E-06</v>
      </c>
      <c r="DJ19" s="165" t="str">
        <f t="shared" si="72"/>
        <v>n/a</v>
      </c>
      <c r="DK19" s="165" t="str">
        <f t="shared" si="7"/>
        <v>n/a</v>
      </c>
      <c r="DL19" s="165">
        <f t="shared" si="73"/>
        <v>0.00020569951825374932</v>
      </c>
      <c r="DM19" s="168">
        <f t="shared" si="74"/>
        <v>0.00020569951825374932</v>
      </c>
      <c r="DN19" s="169"/>
      <c r="DO19" s="165" t="str">
        <f t="shared" si="75"/>
        <v>n/a</v>
      </c>
      <c r="DP19" s="165" t="str">
        <f t="shared" si="76"/>
        <v>n/a</v>
      </c>
      <c r="DQ19" s="165">
        <f t="shared" si="77"/>
        <v>2.0569951825374932E-05</v>
      </c>
      <c r="DR19" s="598">
        <f>IF(SUM(DO19:DQ19)&lt;$BZ$4,"",adjustparameter($AB19,0.01,SUM(DO19,DP19,DQ19)/$AB19,$BZ$4))</f>
      </c>
      <c r="DS19" s="166">
        <f t="shared" si="78"/>
      </c>
      <c r="DT19" s="597">
        <f>IF($CK19="n/a","",IF(SUM(DO19:DQ19)&lt;$BZ$4,"",adjustparameter($AO19,0.5*$AO19,SUM(SUM(DQ19)*DR19/$AB19/$AO19),($BZ$4-SUM(DO19:DP19)*DR19/$AB19))))</f>
      </c>
      <c r="DU19" s="166">
        <f t="shared" si="8"/>
      </c>
      <c r="DV19" s="124"/>
      <c r="DW19" s="166">
        <f t="shared" si="79"/>
      </c>
      <c r="DX19" s="124"/>
      <c r="DY19" s="166">
        <f t="shared" si="80"/>
      </c>
      <c r="DZ19" s="595">
        <f t="shared" si="81"/>
      </c>
      <c r="EA19" s="165">
        <f>IF(DZ19="","",VLOOKUP(DZ19,Picklist!$C$2:$E$5,3))</f>
      </c>
      <c r="EB19" s="594">
        <f t="shared" si="82"/>
      </c>
      <c r="EC19" s="197"/>
      <c r="ED19" s="166">
        <f t="shared" si="83"/>
      </c>
      <c r="EE19" s="593" t="str">
        <f t="shared" si="84"/>
        <v>n/a</v>
      </c>
      <c r="EF19" s="594" t="str">
        <f t="shared" si="85"/>
        <v>n/a</v>
      </c>
      <c r="EG19" s="594">
        <f t="shared" si="86"/>
        <v>0.00010284975912687466</v>
      </c>
      <c r="EH19" s="165" t="str">
        <f t="shared" si="87"/>
        <v>n/a</v>
      </c>
      <c r="EI19" s="165" t="str">
        <f t="shared" si="88"/>
        <v>n/a</v>
      </c>
      <c r="EJ19" s="165">
        <f t="shared" si="89"/>
        <v>1.4692822732410667E-06</v>
      </c>
      <c r="EK19" s="167">
        <f t="shared" si="90"/>
        <v>1.4692822732410667E-06</v>
      </c>
      <c r="EL19" s="165" t="str">
        <f t="shared" si="91"/>
        <v>n/a</v>
      </c>
      <c r="EM19" s="165" t="str">
        <f t="shared" si="9"/>
        <v>n/a</v>
      </c>
      <c r="EN19" s="165">
        <f t="shared" si="92"/>
        <v>2.0569951825374932E-05</v>
      </c>
      <c r="EO19" s="168">
        <f t="shared" si="93"/>
        <v>2.0569951825374932E-05</v>
      </c>
      <c r="EP19" s="169"/>
      <c r="EQ19" s="165" t="str">
        <f t="shared" si="94"/>
        <v>n/a</v>
      </c>
      <c r="ER19" s="165" t="str">
        <f t="shared" si="95"/>
        <v>n/a</v>
      </c>
      <c r="ES19" s="165">
        <f t="shared" si="96"/>
        <v>4.1139903650749866E-06</v>
      </c>
      <c r="ET19" s="596">
        <f>IF(SUM(EQ19:ES19)&lt;$BZ$4,"",adjustparameter($AB19,0.01,SUM(EQ19,ER19,ES19)/$AB19,$BZ$4))</f>
      </c>
      <c r="EU19" s="166">
        <f t="shared" si="97"/>
      </c>
      <c r="EV19" s="597">
        <f>IF($CK19="n/a","",IF(SUM(EQ19:ES19)&lt;$BZ$4,"",adjustparameter($AO19,0.5*$AO19,SUM(SUM(ES19)*ET19/$AB19/$AO19),($BZ$4-SUM(EQ19:ER19)*ET19/$AB19))))</f>
      </c>
      <c r="EW19" s="166">
        <f t="shared" si="98"/>
      </c>
      <c r="EX19" s="124"/>
      <c r="EY19" s="166">
        <f t="shared" si="99"/>
      </c>
      <c r="EZ19" s="124"/>
      <c r="FA19" s="166">
        <f t="shared" si="100"/>
      </c>
      <c r="FB19" s="595">
        <f t="shared" si="101"/>
      </c>
      <c r="FC19" s="165">
        <f>IF(FB19="","",VLOOKUP(FB19,Picklist!$C$2:$E$5,3))</f>
      </c>
      <c r="FD19" s="594">
        <f t="shared" si="102"/>
      </c>
      <c r="FE19" s="197"/>
      <c r="FF19" s="166">
        <f t="shared" si="10"/>
      </c>
      <c r="FG19" s="593" t="str">
        <f t="shared" si="103"/>
        <v>n/a</v>
      </c>
      <c r="FH19" s="594" t="str">
        <f t="shared" si="104"/>
        <v>n/a</v>
      </c>
      <c r="FI19" s="594">
        <f t="shared" si="105"/>
        <v>0.00010284975912687466</v>
      </c>
      <c r="FJ19" s="165" t="str">
        <f t="shared" si="106"/>
        <v>n/a</v>
      </c>
      <c r="FK19" s="165" t="str">
        <f t="shared" si="107"/>
        <v>n/a</v>
      </c>
      <c r="FL19" s="165">
        <f t="shared" si="108"/>
        <v>1.4692822732410667E-06</v>
      </c>
      <c r="FM19" s="167">
        <f t="shared" si="109"/>
        <v>1.4692822732410667E-06</v>
      </c>
      <c r="FN19" s="165" t="str">
        <f t="shared" si="110"/>
        <v>n/a</v>
      </c>
      <c r="FO19" s="165" t="str">
        <f t="shared" si="11"/>
        <v>n/a</v>
      </c>
      <c r="FP19" s="165">
        <f t="shared" si="111"/>
        <v>4.1139903650749866E-06</v>
      </c>
      <c r="FQ19" s="168">
        <f t="shared" si="112"/>
        <v>4.1139903650749866E-06</v>
      </c>
      <c r="FR19" s="169"/>
      <c r="FS19" s="165" t="str">
        <f t="shared" si="113"/>
        <v>n/a</v>
      </c>
      <c r="FT19" s="165" t="str">
        <f t="shared" si="114"/>
        <v>n/a</v>
      </c>
      <c r="FU19" s="165">
        <f t="shared" si="115"/>
        <v>1.0284975912687466E-06</v>
      </c>
      <c r="FV19" s="596">
        <f>IF(SUM(FS19:FU19)&lt;$BZ$4,"",adjustparameter($AB19,0.01,SUM(FS19,FT19,FU19)/$AB19,$BZ$4))</f>
      </c>
      <c r="FW19" s="166">
        <f t="shared" si="116"/>
      </c>
      <c r="FX19" s="597">
        <f>IF($CK19="n/a","",IF(SUM(FS19:FU19)&lt;$BZ$4,"",adjustparameter($AO19,0.5*$AO19,SUM(SUM(FU19)*FV19/$AB19/$AO19),($BZ$4-SUM(FS19:FT19)*FV19/$AB19))))</f>
      </c>
      <c r="FY19" s="166">
        <f t="shared" si="117"/>
      </c>
      <c r="FZ19" s="124"/>
      <c r="GA19" s="166">
        <f t="shared" si="118"/>
      </c>
      <c r="GB19" s="124"/>
      <c r="GC19" s="166">
        <f t="shared" si="119"/>
      </c>
      <c r="GD19" s="595">
        <f t="shared" si="120"/>
      </c>
      <c r="GE19" s="165">
        <f>IF(GD19="","",VLOOKUP(GD19,Picklist!$C$2:$E$5,3))</f>
      </c>
      <c r="GF19" s="594">
        <f t="shared" si="121"/>
      </c>
      <c r="GG19" s="197"/>
      <c r="GH19" s="166">
        <f t="shared" si="12"/>
      </c>
      <c r="GI19" s="593" t="str">
        <f t="shared" si="122"/>
        <v>n/a</v>
      </c>
      <c r="GJ19" s="594" t="str">
        <f t="shared" si="123"/>
        <v>n/a</v>
      </c>
      <c r="GK19" s="594">
        <f t="shared" si="124"/>
        <v>0.00010284975912687466</v>
      </c>
      <c r="GL19" s="165" t="str">
        <f t="shared" si="125"/>
        <v>n/a</v>
      </c>
      <c r="GM19" s="165" t="str">
        <f t="shared" si="126"/>
        <v>n/a</v>
      </c>
      <c r="GN19" s="165">
        <f t="shared" si="127"/>
        <v>1.4692822732410667E-06</v>
      </c>
      <c r="GO19" s="167">
        <f t="shared" si="128"/>
        <v>1.4692822732410667E-06</v>
      </c>
      <c r="GP19" s="165" t="str">
        <f t="shared" si="129"/>
        <v>n/a</v>
      </c>
      <c r="GQ19" s="165" t="str">
        <f t="shared" si="13"/>
        <v>n/a</v>
      </c>
      <c r="GR19" s="165">
        <f t="shared" si="130"/>
        <v>1.0284975912687466E-06</v>
      </c>
      <c r="GS19" s="170">
        <f t="shared" si="131"/>
        <v>1.0284975912687466E-06</v>
      </c>
      <c r="GT19" s="139"/>
      <c r="GU19" s="139"/>
      <c r="GV19" s="139"/>
      <c r="GW19" s="139"/>
      <c r="GX19" s="139"/>
      <c r="GY19" s="139"/>
      <c r="GZ19" s="139"/>
      <c r="HA19" s="139"/>
      <c r="HB19" s="139"/>
      <c r="HC19" s="139"/>
      <c r="HD19" s="139"/>
      <c r="HE19" s="139"/>
      <c r="HF19" s="139"/>
      <c r="HG19" s="139"/>
      <c r="HH19" s="139"/>
      <c r="HI19" s="139"/>
      <c r="HJ19" s="139"/>
      <c r="HK19" s="139"/>
      <c r="HL19" s="139"/>
      <c r="HM19" s="139"/>
      <c r="HN19" s="139"/>
      <c r="HO19" s="139"/>
      <c r="HP19" s="139"/>
      <c r="HQ19" s="139"/>
      <c r="HR19" s="139"/>
      <c r="HS19" s="139"/>
      <c r="HT19" s="139"/>
      <c r="HU19" s="139"/>
      <c r="HV19" s="139"/>
      <c r="HW19" s="139"/>
      <c r="HX19" s="139"/>
      <c r="HY19" s="139"/>
      <c r="HZ19" s="139"/>
      <c r="IA19" s="139"/>
      <c r="IB19" s="139"/>
      <c r="IC19" s="139"/>
      <c r="ID19" s="139"/>
      <c r="IE19" s="139"/>
      <c r="IF19" s="139"/>
      <c r="IG19" s="139"/>
      <c r="IH19" s="139"/>
      <c r="II19" s="139"/>
      <c r="IJ19" s="139"/>
      <c r="IK19" s="139"/>
      <c r="IL19" s="139"/>
      <c r="IM19" s="139"/>
      <c r="IN19" s="139"/>
    </row>
    <row r="20" spans="1:248" s="171" customFormat="1" ht="132">
      <c r="A20" s="139"/>
      <c r="B20" s="145"/>
      <c r="C20" s="187" t="s">
        <v>387</v>
      </c>
      <c r="D20" s="188" t="s">
        <v>64</v>
      </c>
      <c r="E20" s="189" t="s">
        <v>239</v>
      </c>
      <c r="F20" s="190">
        <v>0.1</v>
      </c>
      <c r="G20" s="191" t="s">
        <v>388</v>
      </c>
      <c r="H20" s="191"/>
      <c r="I20" s="191" t="s">
        <v>388</v>
      </c>
      <c r="J20" s="191" t="s">
        <v>139</v>
      </c>
      <c r="K20" s="191">
        <v>1</v>
      </c>
      <c r="L20" s="191">
        <v>857.5</v>
      </c>
      <c r="M20" s="191"/>
      <c r="N20" s="118">
        <v>2000</v>
      </c>
      <c r="O20" s="118">
        <v>34</v>
      </c>
      <c r="P20" s="140">
        <f>10/60</f>
        <v>0.16666666666666666</v>
      </c>
      <c r="Q20" s="151">
        <f t="shared" si="14"/>
        <v>14.291666666666666</v>
      </c>
      <c r="R20" s="132" t="str">
        <f t="shared" si="15"/>
        <v>n/a</v>
      </c>
      <c r="S20" s="143">
        <f t="shared" si="16"/>
        <v>22.38562091503268</v>
      </c>
      <c r="T20" s="143">
        <f t="shared" si="17"/>
        <v>5882.35294117647</v>
      </c>
      <c r="U20" s="143">
        <f t="shared" si="18"/>
        <v>5882.35294117647</v>
      </c>
      <c r="V20" s="152">
        <f t="shared" si="19"/>
        <v>36.677287581699346</v>
      </c>
      <c r="W20" s="153">
        <f t="shared" si="20"/>
        <v>0.7145833333333333</v>
      </c>
      <c r="X20" s="154" t="str">
        <f t="shared" si="21"/>
        <v>n/a</v>
      </c>
      <c r="Y20" s="154" t="str">
        <f t="shared" si="22"/>
        <v>n/a</v>
      </c>
      <c r="Z20" s="154">
        <f t="shared" si="23"/>
        <v>84.03361344537815</v>
      </c>
      <c r="AA20" s="155">
        <f t="shared" si="24"/>
        <v>84.74819677871149</v>
      </c>
      <c r="AB20" s="95">
        <v>0.1</v>
      </c>
      <c r="AC20" s="81" t="s">
        <v>28</v>
      </c>
      <c r="AD20" s="186">
        <v>1</v>
      </c>
      <c r="AE20" s="118" t="s">
        <v>631</v>
      </c>
      <c r="AF20" s="81">
        <v>428</v>
      </c>
      <c r="AG20" s="118" t="s">
        <v>150</v>
      </c>
      <c r="AH20" s="81"/>
      <c r="AI20" s="105"/>
      <c r="AJ20" s="95"/>
      <c r="AK20" s="95"/>
      <c r="AL20" s="129"/>
      <c r="AM20" s="81"/>
      <c r="AN20" s="193"/>
      <c r="AO20" s="81">
        <v>2000</v>
      </c>
      <c r="AP20" s="81" t="s">
        <v>290</v>
      </c>
      <c r="AQ20" s="87">
        <v>0.05</v>
      </c>
      <c r="AR20" s="81" t="s">
        <v>257</v>
      </c>
      <c r="AS20" s="118" t="s">
        <v>498</v>
      </c>
      <c r="AT20" s="120">
        <f t="shared" si="25"/>
        <v>1.5</v>
      </c>
      <c r="AU20" s="131" t="str">
        <f t="shared" si="132"/>
        <v>RIVM  general fact sheet</v>
      </c>
      <c r="AV20" s="131">
        <f t="shared" si="26"/>
        <v>0.8826804001526236</v>
      </c>
      <c r="AW20" s="156">
        <f t="shared" si="133"/>
        <v>34</v>
      </c>
      <c r="AX20" s="156" t="str">
        <f t="shared" si="134"/>
        <v>RIVM general fact sheet</v>
      </c>
      <c r="AY20" s="120">
        <v>0.17</v>
      </c>
      <c r="AZ20" s="141" t="s">
        <v>258</v>
      </c>
      <c r="BA20" s="125">
        <f t="shared" si="0"/>
        <v>7.133333333333333</v>
      </c>
      <c r="BB20" s="125">
        <f t="shared" si="1"/>
        <v>7.133333333333333</v>
      </c>
      <c r="BC20" s="120">
        <f t="shared" si="27"/>
        <v>1</v>
      </c>
      <c r="BD20" s="120" t="str">
        <f t="shared" si="2"/>
        <v>n/a</v>
      </c>
      <c r="BE20" s="120" t="str">
        <f t="shared" si="3"/>
        <v>n/a</v>
      </c>
      <c r="BF20" s="120">
        <f t="shared" si="4"/>
        <v>1.0077267901742455</v>
      </c>
      <c r="BG20" s="120">
        <f t="shared" si="28"/>
        <v>259.6118823978305</v>
      </c>
      <c r="BH20" s="120">
        <f t="shared" si="29"/>
      </c>
      <c r="BI20" s="120">
        <f t="shared" si="5"/>
        <v>1.8389175003179663</v>
      </c>
      <c r="BJ20" s="158">
        <f t="shared" si="30"/>
        <v>1.8389175003179663</v>
      </c>
      <c r="BK20" s="159">
        <f t="shared" si="31"/>
        <v>8.141060123507579</v>
      </c>
      <c r="BL20" s="160" t="str">
        <f t="shared" si="32"/>
        <v>n/a</v>
      </c>
      <c r="BM20" s="161" t="str">
        <f t="shared" si="33"/>
        <v>n/a</v>
      </c>
      <c r="BN20" s="161">
        <f t="shared" si="34"/>
        <v>0.35666666666666663</v>
      </c>
      <c r="BO20" s="162" t="str">
        <f t="shared" si="35"/>
        <v>n/a</v>
      </c>
      <c r="BP20" s="161">
        <f t="shared" si="36"/>
        <v>0.026270250004542375</v>
      </c>
      <c r="BQ20" s="162">
        <f t="shared" si="37"/>
        <v>0.382936916671209</v>
      </c>
      <c r="BR20" s="161">
        <f t="shared" si="38"/>
        <v>0.35666666666666663</v>
      </c>
      <c r="BS20" s="161" t="str">
        <f t="shared" si="39"/>
        <v>n/a</v>
      </c>
      <c r="BT20" s="161">
        <f t="shared" si="40"/>
        <v>0.026270250004542375</v>
      </c>
      <c r="BU20" s="161">
        <f t="shared" si="41"/>
        <v>0.382936916671209</v>
      </c>
      <c r="BV20" s="163" t="str">
        <f t="shared" si="42"/>
        <v>Unless otherwise stated, covers concentrations up to 10% [ConsOC1]; covers use up to 364 days/year[ConsOC3]; covers use up to 1 time/on day of use[ConsOC4]; covers skin contact area up to 428,00 cm2 [ConsOC5]; for each use event, covers use amounts up to 2000g [ConsOC2]; Covers use in a one car garage (34m3) under typcial ventilation [ConsOC10]; covers use in room size of 34m3[ConsOC11]; for each use event, covers exposure up to 0,17hr/event[ConsOC14]; </v>
      </c>
      <c r="BW20" s="126" t="str">
        <f t="shared" si="43"/>
        <v>No specific RMMs identified beyond those OCs stated</v>
      </c>
      <c r="BX20" s="125" t="str">
        <f t="shared" si="44"/>
        <v>Based upon daily use</v>
      </c>
      <c r="BY20" s="120">
        <f t="shared" si="45"/>
        <v>0.35666666666666663</v>
      </c>
      <c r="BZ20" s="120" t="str">
        <f t="shared" si="46"/>
        <v>n/a</v>
      </c>
      <c r="CA20" s="120">
        <f t="shared" si="47"/>
        <v>0.026270250004542375</v>
      </c>
      <c r="CB20" s="164">
        <f t="shared" si="48"/>
        <v>0.382936916671209</v>
      </c>
      <c r="CC20" s="120">
        <f t="shared" si="49"/>
        <v>7.133333333333333</v>
      </c>
      <c r="CD20" s="120" t="str">
        <f t="shared" si="50"/>
        <v>n/a</v>
      </c>
      <c r="CE20" s="159">
        <f t="shared" si="51"/>
        <v>1.8389175003179663</v>
      </c>
      <c r="CF20" s="199"/>
      <c r="CG20" s="195" t="str">
        <f t="shared" si="6"/>
        <v>PC4_n:Anti-freeze and de-icing products</v>
      </c>
      <c r="CH20" s="196" t="str">
        <f t="shared" si="6"/>
        <v>Pouring into radiator</v>
      </c>
      <c r="CI20" s="120">
        <f t="shared" si="52"/>
        <v>7.133333333333333</v>
      </c>
      <c r="CJ20" s="120" t="str">
        <f t="shared" si="53"/>
        <v>n/a</v>
      </c>
      <c r="CK20" s="120">
        <f t="shared" si="54"/>
        <v>1.8389175003179663</v>
      </c>
      <c r="CL20" s="124"/>
      <c r="CM20" s="165">
        <f t="shared" si="55"/>
        <v>71.33333333333333</v>
      </c>
      <c r="CN20" s="165" t="str">
        <f t="shared" si="56"/>
        <v>n/a</v>
      </c>
      <c r="CO20" s="165">
        <f t="shared" si="57"/>
        <v>3.6778350006359326</v>
      </c>
      <c r="CP20" s="598">
        <f>IF(SUM(CM20:CO20)&lt;$BZ$4,"",adjustparameter($AB20,0.01,SUM(CM20,CN20,CO20)/$AB20,$BZ$4))</f>
        <v>0.01</v>
      </c>
      <c r="CQ20" s="166">
        <f t="shared" si="58"/>
        <v>0.9</v>
      </c>
      <c r="CR20" s="599">
        <f>IF($CK20="n/a","",IF(SUM(CM20:CO20)&lt;$BZ$4,"",adjustparameter($AO20,0.5*$AO20,SUM(SUM(CO20)*CP20/$AB20/$AO20),($BZ$4-SUM(CM20:CN20)*CP20/$AB20))))</f>
        <v>1000</v>
      </c>
      <c r="CS20" s="166">
        <f t="shared" si="59"/>
        <v>0.5</v>
      </c>
      <c r="CT20" s="124"/>
      <c r="CU20" s="166">
        <f t="shared" si="60"/>
      </c>
      <c r="CV20" s="124"/>
      <c r="CW20" s="166">
        <f t="shared" si="61"/>
      </c>
      <c r="CX20" s="595">
        <f t="shared" si="62"/>
      </c>
      <c r="CY20" s="165">
        <f>IF(CX20="","",VLOOKUP(CX20,Picklist!$C$2:$E$5,3))</f>
      </c>
      <c r="CZ20" s="594">
        <f t="shared" si="63"/>
      </c>
      <c r="DA20" s="165"/>
      <c r="DB20" s="166">
        <f t="shared" si="64"/>
      </c>
      <c r="DC20" s="165">
        <f t="shared" si="65"/>
        <v>0.7133333333333332</v>
      </c>
      <c r="DD20" s="165" t="str">
        <f t="shared" si="66"/>
        <v>n/a</v>
      </c>
      <c r="DE20" s="165">
        <f t="shared" si="67"/>
        <v>0.09194587501589829</v>
      </c>
      <c r="DF20" s="165">
        <f t="shared" si="68"/>
        <v>0.03566666666666666</v>
      </c>
      <c r="DG20" s="165" t="str">
        <f t="shared" si="69"/>
        <v>n/a</v>
      </c>
      <c r="DH20" s="165">
        <f t="shared" si="70"/>
        <v>0.0013135125002271184</v>
      </c>
      <c r="DI20" s="167">
        <f t="shared" si="71"/>
        <v>0.03698017916689378</v>
      </c>
      <c r="DJ20" s="165">
        <f t="shared" si="72"/>
        <v>7.133333333333332</v>
      </c>
      <c r="DK20" s="165" t="str">
        <f t="shared" si="7"/>
        <v>n/a</v>
      </c>
      <c r="DL20" s="165">
        <f t="shared" si="73"/>
        <v>0.1838917500317966</v>
      </c>
      <c r="DM20" s="168">
        <f t="shared" si="74"/>
        <v>7.317225083365129</v>
      </c>
      <c r="DN20" s="169"/>
      <c r="DO20" s="165">
        <f t="shared" si="75"/>
        <v>7.133333333333333</v>
      </c>
      <c r="DP20" s="165" t="str">
        <f t="shared" si="76"/>
        <v>n/a</v>
      </c>
      <c r="DQ20" s="165">
        <f t="shared" si="77"/>
        <v>0.3677835000635933</v>
      </c>
      <c r="DR20" s="598">
        <f>IF(SUM(DO20:DQ20)&lt;$BZ$4,"",adjustparameter($AB20,0.01,SUM(DO20,DP20,DQ20)/$AB20,$BZ$4))</f>
        <v>0.01199821333261956</v>
      </c>
      <c r="DS20" s="166">
        <f t="shared" si="78"/>
        <v>0.8800178666738043</v>
      </c>
      <c r="DT20" s="597">
        <f>IF($CK20="n/a","",IF(SUM(DO20:DQ20)&lt;$BZ$4,"",adjustparameter($AO20,0.5*$AO20,SUM(SUM(DQ20)*DR20/$AB20/$AO20),($BZ$4-SUM(DO20:DP20)*DR20/$AB20))))</f>
      </c>
      <c r="DU20" s="166">
        <f t="shared" si="8"/>
      </c>
      <c r="DV20" s="124"/>
      <c r="DW20" s="166">
        <f t="shared" si="79"/>
      </c>
      <c r="DX20" s="124"/>
      <c r="DY20" s="166">
        <f t="shared" si="80"/>
      </c>
      <c r="DZ20" s="595">
        <f t="shared" si="81"/>
      </c>
      <c r="EA20" s="165">
        <f>IF(DZ20="","",VLOOKUP(DZ20,Picklist!$C$2:$E$5,3))</f>
      </c>
      <c r="EB20" s="594">
        <f t="shared" si="82"/>
      </c>
      <c r="EC20" s="197"/>
      <c r="ED20" s="166">
        <f t="shared" si="83"/>
      </c>
      <c r="EE20" s="593">
        <f t="shared" si="84"/>
        <v>0.8558725510601958</v>
      </c>
      <c r="EF20" s="594" t="str">
        <f t="shared" si="85"/>
        <v>n/a</v>
      </c>
      <c r="EG20" s="594">
        <f t="shared" si="86"/>
        <v>0.2206372446990247</v>
      </c>
      <c r="EH20" s="165">
        <f t="shared" si="87"/>
        <v>0.04279362755300979</v>
      </c>
      <c r="EI20" s="165" t="str">
        <f t="shared" si="88"/>
        <v>n/a</v>
      </c>
      <c r="EJ20" s="165">
        <f t="shared" si="89"/>
        <v>0.003151960638557496</v>
      </c>
      <c r="EK20" s="167">
        <f t="shared" si="90"/>
        <v>0.045945588191567285</v>
      </c>
      <c r="EL20" s="165">
        <f t="shared" si="91"/>
        <v>0.8558725510601951</v>
      </c>
      <c r="EM20" s="165" t="str">
        <f t="shared" si="9"/>
        <v>n/a</v>
      </c>
      <c r="EN20" s="165">
        <f t="shared" si="92"/>
        <v>0.044127448939804914</v>
      </c>
      <c r="EO20" s="168">
        <f t="shared" si="93"/>
        <v>0.9</v>
      </c>
      <c r="EP20" s="169"/>
      <c r="EQ20" s="165">
        <f t="shared" si="94"/>
        <v>1.4266666666666665</v>
      </c>
      <c r="ER20" s="165" t="str">
        <f t="shared" si="95"/>
        <v>n/a</v>
      </c>
      <c r="ES20" s="165">
        <f t="shared" si="96"/>
        <v>0.07355670001271865</v>
      </c>
      <c r="ET20" s="596">
        <f>IF(SUM(EQ20:ES20)&lt;$BZ$4,"",adjustparameter($AB20,0.01,SUM(EQ20,ER20,ES20)/$AB20,$BZ$4))</f>
        <v>0.0599910666630978</v>
      </c>
      <c r="EU20" s="166">
        <f t="shared" si="97"/>
        <v>0.400089333369022</v>
      </c>
      <c r="EV20" s="597">
        <f>IF($CK20="n/a","",IF(SUM(EQ20:ES20)&lt;$BZ$4,"",adjustparameter($AO20,0.5*$AO20,SUM(SUM(ES20)*ET20/$AB20/$AO20),($BZ$4-SUM(EQ20:ER20)*ET20/$AB20))))</f>
        <v>1999.999999999995</v>
      </c>
      <c r="EW20" s="166">
        <f t="shared" si="98"/>
        <v>2.5011104298755525E-15</v>
      </c>
      <c r="EX20" s="124"/>
      <c r="EY20" s="166">
        <f t="shared" si="99"/>
      </c>
      <c r="EZ20" s="124"/>
      <c r="FA20" s="166">
        <f t="shared" si="100"/>
      </c>
      <c r="FB20" s="595">
        <f t="shared" si="101"/>
      </c>
      <c r="FC20" s="165">
        <f>IF(FB20="","",VLOOKUP(FB20,Picklist!$C$2:$E$5,3))</f>
      </c>
      <c r="FD20" s="594">
        <f t="shared" si="102"/>
      </c>
      <c r="FE20" s="197"/>
      <c r="FF20" s="166">
        <f t="shared" si="10"/>
      </c>
      <c r="FG20" s="593">
        <f t="shared" si="103"/>
        <v>4.279362755300975</v>
      </c>
      <c r="FH20" s="594" t="str">
        <f t="shared" si="104"/>
        <v>n/a</v>
      </c>
      <c r="FI20" s="594">
        <f t="shared" si="105"/>
        <v>1.1031862234951197</v>
      </c>
      <c r="FJ20" s="165">
        <f t="shared" si="106"/>
        <v>0.21396813776504878</v>
      </c>
      <c r="FK20" s="165" t="str">
        <f t="shared" si="107"/>
        <v>n/a</v>
      </c>
      <c r="FL20" s="165">
        <f t="shared" si="108"/>
        <v>0.015759803192787424</v>
      </c>
      <c r="FM20" s="167">
        <f t="shared" si="109"/>
        <v>0.2297279409578362</v>
      </c>
      <c r="FN20" s="165">
        <f t="shared" si="110"/>
        <v>0.8558725510601952</v>
      </c>
      <c r="FO20" s="165" t="str">
        <f t="shared" si="11"/>
        <v>n/a</v>
      </c>
      <c r="FP20" s="165">
        <f t="shared" si="111"/>
        <v>0.0441274489398048</v>
      </c>
      <c r="FQ20" s="168">
        <f t="shared" si="112"/>
        <v>0.9</v>
      </c>
      <c r="FR20" s="169"/>
      <c r="FS20" s="165">
        <f t="shared" si="113"/>
        <v>0.35666666666666663</v>
      </c>
      <c r="FT20" s="165" t="str">
        <f t="shared" si="114"/>
        <v>n/a</v>
      </c>
      <c r="FU20" s="165">
        <f t="shared" si="115"/>
        <v>0.018389175003179662</v>
      </c>
      <c r="FV20" s="596">
        <f>IF(SUM(FS20:FU20)&lt;$BZ$4,"",adjustparameter($AB20,0.01,SUM(FS20,FT20,FU20)/$AB20,$BZ$4))</f>
      </c>
      <c r="FW20" s="166">
        <f t="shared" si="116"/>
      </c>
      <c r="FX20" s="597">
        <f>IF($CK20="n/a","",IF(SUM(FS20:FU20)&lt;$BZ$4,"",adjustparameter($AO20,0.5*$AO20,SUM(SUM(FU20)*FV20/$AB20/$AO20),($BZ$4-SUM(FS20:FT20)*FV20/$AB20))))</f>
      </c>
      <c r="FY20" s="166">
        <f t="shared" si="117"/>
      </c>
      <c r="FZ20" s="124"/>
      <c r="GA20" s="166">
        <f t="shared" si="118"/>
      </c>
      <c r="GB20" s="124"/>
      <c r="GC20" s="166">
        <f t="shared" si="119"/>
      </c>
      <c r="GD20" s="595">
        <f t="shared" si="120"/>
      </c>
      <c r="GE20" s="165">
        <f>IF(GD20="","",VLOOKUP(GD20,Picklist!$C$2:$E$5,3))</f>
      </c>
      <c r="GF20" s="594">
        <f t="shared" si="121"/>
      </c>
      <c r="GG20" s="197"/>
      <c r="GH20" s="166">
        <f t="shared" si="12"/>
      </c>
      <c r="GI20" s="593">
        <f t="shared" si="122"/>
        <v>7.133333333333333</v>
      </c>
      <c r="GJ20" s="594" t="str">
        <f t="shared" si="123"/>
        <v>n/a</v>
      </c>
      <c r="GK20" s="594">
        <f t="shared" si="124"/>
        <v>1.8389175003179663</v>
      </c>
      <c r="GL20" s="165">
        <f t="shared" si="125"/>
        <v>0.35666666666666663</v>
      </c>
      <c r="GM20" s="165" t="str">
        <f t="shared" si="126"/>
        <v>n/a</v>
      </c>
      <c r="GN20" s="165">
        <f t="shared" si="127"/>
        <v>0.026270250004542375</v>
      </c>
      <c r="GO20" s="167">
        <f t="shared" si="128"/>
        <v>0.382936916671209</v>
      </c>
      <c r="GP20" s="165">
        <f t="shared" si="129"/>
        <v>0.35666666666666663</v>
      </c>
      <c r="GQ20" s="165" t="str">
        <f t="shared" si="13"/>
        <v>n/a</v>
      </c>
      <c r="GR20" s="165">
        <f t="shared" si="130"/>
        <v>0.018389175003179662</v>
      </c>
      <c r="GS20" s="170">
        <f t="shared" si="131"/>
        <v>0.3750558416698463</v>
      </c>
      <c r="GT20" s="139"/>
      <c r="GU20" s="139"/>
      <c r="GV20" s="139"/>
      <c r="GW20" s="139"/>
      <c r="GX20" s="139"/>
      <c r="GY20" s="139"/>
      <c r="GZ20" s="139"/>
      <c r="HA20" s="139"/>
      <c r="HB20" s="139"/>
      <c r="HC20" s="139"/>
      <c r="HD20" s="139"/>
      <c r="HE20" s="139"/>
      <c r="HF20" s="139"/>
      <c r="HG20" s="139"/>
      <c r="HH20" s="139"/>
      <c r="HI20" s="139"/>
      <c r="HJ20" s="139"/>
      <c r="HK20" s="139"/>
      <c r="HL20" s="139"/>
      <c r="HM20" s="139"/>
      <c r="HN20" s="139"/>
      <c r="HO20" s="139"/>
      <c r="HP20" s="139"/>
      <c r="HQ20" s="139"/>
      <c r="HR20" s="139"/>
      <c r="HS20" s="139"/>
      <c r="HT20" s="139"/>
      <c r="HU20" s="139"/>
      <c r="HV20" s="139"/>
      <c r="HW20" s="139"/>
      <c r="HX20" s="139"/>
      <c r="HY20" s="139"/>
      <c r="HZ20" s="139"/>
      <c r="IA20" s="139"/>
      <c r="IB20" s="139"/>
      <c r="IC20" s="139"/>
      <c r="ID20" s="139"/>
      <c r="IE20" s="139"/>
      <c r="IF20" s="139"/>
      <c r="IG20" s="139"/>
      <c r="IH20" s="139"/>
      <c r="II20" s="139"/>
      <c r="IJ20" s="139"/>
      <c r="IK20" s="139"/>
      <c r="IL20" s="139"/>
      <c r="IM20" s="139"/>
      <c r="IN20" s="139"/>
    </row>
    <row r="21" spans="1:248" s="171" customFormat="1" ht="158.25">
      <c r="A21" s="139"/>
      <c r="B21" s="145"/>
      <c r="C21" s="187"/>
      <c r="D21" s="188" t="s">
        <v>64</v>
      </c>
      <c r="E21" s="189" t="s">
        <v>253</v>
      </c>
      <c r="F21" s="190">
        <v>0.5</v>
      </c>
      <c r="G21" s="191" t="s">
        <v>388</v>
      </c>
      <c r="H21" s="191"/>
      <c r="I21" s="191" t="s">
        <v>388</v>
      </c>
      <c r="J21" s="191" t="s">
        <v>398</v>
      </c>
      <c r="K21" s="191">
        <v>1</v>
      </c>
      <c r="L21" s="191">
        <v>214.4</v>
      </c>
      <c r="M21" s="191"/>
      <c r="N21" s="118">
        <v>4</v>
      </c>
      <c r="O21" s="118">
        <v>34</v>
      </c>
      <c r="P21" s="140">
        <f>15/60</f>
        <v>0.25</v>
      </c>
      <c r="Q21" s="151">
        <f t="shared" si="14"/>
        <v>17.866666666666667</v>
      </c>
      <c r="R21" s="132" t="str">
        <f t="shared" si="15"/>
        <v>n/a</v>
      </c>
      <c r="S21" s="143">
        <f t="shared" si="16"/>
        <v>0.33578431372549017</v>
      </c>
      <c r="T21" s="143">
        <f t="shared" si="17"/>
        <v>58.8235294117647</v>
      </c>
      <c r="U21" s="143">
        <f t="shared" si="18"/>
        <v>58.8235294117647</v>
      </c>
      <c r="V21" s="152">
        <f t="shared" si="19"/>
        <v>18.202450980392157</v>
      </c>
      <c r="W21" s="153">
        <f t="shared" si="20"/>
        <v>0.8933333333333333</v>
      </c>
      <c r="X21" s="154" t="str">
        <f t="shared" si="21"/>
        <v>n/a</v>
      </c>
      <c r="Y21" s="154" t="str">
        <f t="shared" si="22"/>
        <v>n/a</v>
      </c>
      <c r="Z21" s="154">
        <f t="shared" si="23"/>
        <v>0.8403361344537815</v>
      </c>
      <c r="AA21" s="155">
        <f t="shared" si="24"/>
        <v>1.7336694677871147</v>
      </c>
      <c r="AB21" s="81">
        <v>0.5</v>
      </c>
      <c r="AC21" s="81" t="s">
        <v>291</v>
      </c>
      <c r="AD21" s="156">
        <v>1</v>
      </c>
      <c r="AE21" s="118" t="s">
        <v>631</v>
      </c>
      <c r="AF21" s="81">
        <v>214.4</v>
      </c>
      <c r="AG21" s="118" t="s">
        <v>292</v>
      </c>
      <c r="AH21" s="81"/>
      <c r="AI21" s="81"/>
      <c r="AJ21" s="95"/>
      <c r="AK21" s="95"/>
      <c r="AL21" s="129"/>
      <c r="AM21" s="81"/>
      <c r="AN21" s="118"/>
      <c r="AO21" s="81">
        <v>4</v>
      </c>
      <c r="AP21" s="81" t="s">
        <v>293</v>
      </c>
      <c r="AQ21" s="87"/>
      <c r="AR21" s="81"/>
      <c r="AS21" s="118" t="s">
        <v>498</v>
      </c>
      <c r="AT21" s="120">
        <f t="shared" si="25"/>
        <v>1.5</v>
      </c>
      <c r="AU21" s="131" t="str">
        <f t="shared" si="132"/>
        <v>RIVM  general fact sheet</v>
      </c>
      <c r="AV21" s="131">
        <f t="shared" si="26"/>
        <v>0.8338952565574074</v>
      </c>
      <c r="AW21" s="156">
        <f t="shared" si="133"/>
        <v>34</v>
      </c>
      <c r="AX21" s="156" t="str">
        <f t="shared" si="134"/>
        <v>RIVM general fact sheet</v>
      </c>
      <c r="AY21" s="118">
        <v>0.25</v>
      </c>
      <c r="AZ21" s="200" t="s">
        <v>294</v>
      </c>
      <c r="BA21" s="125">
        <f t="shared" si="0"/>
        <v>17.866666666666667</v>
      </c>
      <c r="BB21" s="125">
        <f t="shared" si="1"/>
        <v>17.866666666666667</v>
      </c>
      <c r="BC21" s="120">
        <f t="shared" si="27"/>
        <v>5</v>
      </c>
      <c r="BD21" s="120" t="str">
        <f t="shared" si="2"/>
        <v>n/a</v>
      </c>
      <c r="BE21" s="120" t="str">
        <f t="shared" si="3"/>
        <v>n/a</v>
      </c>
      <c r="BF21" s="120">
        <f t="shared" si="4"/>
        <v>0.2800089464420706</v>
      </c>
      <c r="BG21" s="120">
        <f t="shared" si="28"/>
        <v>49.05266215043573</v>
      </c>
      <c r="BH21" s="120">
        <f t="shared" si="29"/>
      </c>
      <c r="BI21" s="120">
        <f t="shared" si="5"/>
        <v>0.5109652307337055</v>
      </c>
      <c r="BJ21" s="158">
        <f t="shared" si="30"/>
        <v>0.5109652307337055</v>
      </c>
      <c r="BK21" s="159">
        <f t="shared" si="31"/>
        <v>18.146675613108737</v>
      </c>
      <c r="BL21" s="160" t="str">
        <f t="shared" si="32"/>
        <v>n/a</v>
      </c>
      <c r="BM21" s="161" t="str">
        <f t="shared" si="33"/>
        <v>n/a</v>
      </c>
      <c r="BN21" s="161">
        <f t="shared" si="34"/>
        <v>0.8933333333333333</v>
      </c>
      <c r="BO21" s="162" t="str">
        <f t="shared" si="35"/>
        <v>n/a</v>
      </c>
      <c r="BP21" s="161">
        <f t="shared" si="36"/>
        <v>0.0072995032961957924</v>
      </c>
      <c r="BQ21" s="162">
        <f t="shared" si="37"/>
        <v>0.9006328366295291</v>
      </c>
      <c r="BR21" s="161">
        <f t="shared" si="38"/>
        <v>0.8933333333333333</v>
      </c>
      <c r="BS21" s="161" t="str">
        <f t="shared" si="39"/>
        <v>n/a</v>
      </c>
      <c r="BT21" s="161">
        <f t="shared" si="40"/>
        <v>0.0072995032961957924</v>
      </c>
      <c r="BU21" s="161">
        <f t="shared" si="41"/>
        <v>0.9006328366295291</v>
      </c>
      <c r="BV21" s="163" t="str">
        <f t="shared" si="42"/>
        <v>Unless otherwise stated, covers concentrations up to 50% [ConsOC1]; covers use up to 364 days/year[ConsOC3]; covers use up to 1 time/on day of use[ConsOC4]; covers skin contact area up to 214,40 cm2 [ConsOC5]; for each use event, covers use amounts up to 4g [ConsOC2]; Covers use in a one car garage (34m3) under typcial ventilation [ConsOC10]; covers use in room size of 34m3[ConsOC11]; for each use event, covers exposure up to 0,25hr/event[ConsOC14]; </v>
      </c>
      <c r="BW21" s="126" t="str">
        <f t="shared" si="43"/>
        <v>Avoid using at a product concentration greater than 13% [ConsRMM1]; </v>
      </c>
      <c r="BX21" s="125" t="str">
        <f t="shared" si="44"/>
        <v>Based upon daily use + RMM</v>
      </c>
      <c r="BY21" s="120">
        <f t="shared" si="45"/>
        <v>0.22372037314829604</v>
      </c>
      <c r="BZ21" s="120" t="str">
        <f t="shared" si="46"/>
        <v>n/a</v>
      </c>
      <c r="CA21" s="120">
        <f t="shared" si="47"/>
        <v>0.0018280383595770217</v>
      </c>
      <c r="CB21" s="164">
        <f t="shared" si="48"/>
        <v>0.22554841150787305</v>
      </c>
      <c r="CC21" s="120">
        <f t="shared" si="49"/>
        <v>4.474407462965921</v>
      </c>
      <c r="CD21" s="120" t="str">
        <f t="shared" si="50"/>
        <v>n/a</v>
      </c>
      <c r="CE21" s="159">
        <f t="shared" si="51"/>
        <v>0.12796268517039153</v>
      </c>
      <c r="CF21" s="201"/>
      <c r="CG21" s="195" t="str">
        <f aca="true" t="shared" si="135" ref="CG21:CG61">D21</f>
        <v>PC4_n:Anti-freeze and de-icing products</v>
      </c>
      <c r="CH21" s="196" t="s">
        <v>253</v>
      </c>
      <c r="CI21" s="120">
        <f t="shared" si="52"/>
        <v>17.866666666666667</v>
      </c>
      <c r="CJ21" s="120" t="str">
        <f t="shared" si="53"/>
        <v>n/a</v>
      </c>
      <c r="CK21" s="120">
        <f t="shared" si="54"/>
        <v>0.5109652307337055</v>
      </c>
      <c r="CL21" s="124"/>
      <c r="CM21" s="165">
        <f t="shared" si="55"/>
        <v>178.66666666666666</v>
      </c>
      <c r="CN21" s="165" t="str">
        <f t="shared" si="56"/>
        <v>n/a</v>
      </c>
      <c r="CO21" s="165">
        <f t="shared" si="57"/>
        <v>1.021930461467411</v>
      </c>
      <c r="CP21" s="598">
        <f>IF(SUM(CM21:CO21)&lt;$BZ$4,"",adjustparameter($AB21,0.01,SUM(CM21,CN21,CO21)/$AB21,$BZ$4))</f>
        <v>0.01</v>
      </c>
      <c r="CQ21" s="166">
        <f t="shared" si="58"/>
        <v>0.98</v>
      </c>
      <c r="CR21" s="599">
        <f>IF($CK21="n/a","",IF(SUM(CM21:CO21)&lt;$BZ$4,"",adjustparameter($AO21,0.5*$AO21,SUM(SUM(CO21)*CP21/$AB21/$AO21),($BZ$4-SUM(CM21:CN21)*CP21/$AB21))))</f>
        <v>2</v>
      </c>
      <c r="CS21" s="166">
        <f t="shared" si="59"/>
        <v>0.5</v>
      </c>
      <c r="CT21" s="124"/>
      <c r="CU21" s="166">
        <f t="shared" si="60"/>
      </c>
      <c r="CV21" s="124"/>
      <c r="CW21" s="166">
        <f t="shared" si="61"/>
      </c>
      <c r="CX21" s="595">
        <f t="shared" si="62"/>
      </c>
      <c r="CY21" s="165">
        <f>IF(CX21="","",VLOOKUP(CX21,Picklist!$C$2:$E$5,3))</f>
      </c>
      <c r="CZ21" s="594">
        <f t="shared" si="63"/>
      </c>
      <c r="DA21" s="165"/>
      <c r="DB21" s="166">
        <f t="shared" si="64"/>
      </c>
      <c r="DC21" s="165">
        <f t="shared" si="65"/>
        <v>0.35733333333333367</v>
      </c>
      <c r="DD21" s="165" t="str">
        <f t="shared" si="66"/>
        <v>n/a</v>
      </c>
      <c r="DE21" s="165">
        <f t="shared" si="67"/>
        <v>0.0051096523073370596</v>
      </c>
      <c r="DF21" s="165">
        <f t="shared" si="68"/>
        <v>0.017866666666666683</v>
      </c>
      <c r="DG21" s="165" t="str">
        <f t="shared" si="69"/>
        <v>n/a</v>
      </c>
      <c r="DH21" s="165">
        <f t="shared" si="70"/>
        <v>7.2995032961958E-05</v>
      </c>
      <c r="DI21" s="167">
        <f t="shared" si="71"/>
        <v>0.017939661699628642</v>
      </c>
      <c r="DJ21" s="165">
        <f t="shared" si="72"/>
        <v>3.5733333333333333</v>
      </c>
      <c r="DK21" s="165" t="str">
        <f t="shared" si="7"/>
        <v>n/a</v>
      </c>
      <c r="DL21" s="165">
        <f t="shared" si="73"/>
        <v>0.01021930461467411</v>
      </c>
      <c r="DM21" s="168">
        <f t="shared" si="74"/>
        <v>3.5835526379480074</v>
      </c>
      <c r="DN21" s="169"/>
      <c r="DO21" s="165">
        <f t="shared" si="75"/>
        <v>17.866666666666667</v>
      </c>
      <c r="DP21" s="165" t="str">
        <f t="shared" si="76"/>
        <v>n/a</v>
      </c>
      <c r="DQ21" s="165">
        <f t="shared" si="77"/>
        <v>0.1021930461467411</v>
      </c>
      <c r="DR21" s="598">
        <f>IF(SUM(DO21:DQ21)&lt;$BZ$4,"",adjustparameter($AB21,0.01,SUM(DO21,DP21,DQ21)/$AB21,$BZ$4))</f>
        <v>0.0250433253524212</v>
      </c>
      <c r="DS21" s="166">
        <f t="shared" si="78"/>
        <v>0.9499133492951576</v>
      </c>
      <c r="DT21" s="597">
        <f>IF($CK21="n/a","",IF(SUM(DO21:DQ21)&lt;$BZ$4,"",adjustparameter($AO21,0.5*$AO21,SUM(SUM(DQ21)*DR21/$AB21/$AO21),($BZ$4-SUM(DO21:DP21)*DR21/$AB21))))</f>
      </c>
      <c r="DU21" s="166">
        <f t="shared" si="8"/>
      </c>
      <c r="DV21" s="124"/>
      <c r="DW21" s="166">
        <f t="shared" si="79"/>
      </c>
      <c r="DX21" s="124"/>
      <c r="DY21" s="166">
        <f t="shared" si="80"/>
      </c>
      <c r="DZ21" s="595">
        <f t="shared" si="81"/>
      </c>
      <c r="EA21" s="165">
        <f>IF(DZ21="","",VLOOKUP(DZ21,Picklist!$C$2:$E$5,3))</f>
      </c>
      <c r="EB21" s="594">
        <f t="shared" si="82"/>
      </c>
      <c r="EC21" s="197"/>
      <c r="ED21" s="166">
        <f t="shared" si="83"/>
      </c>
      <c r="EE21" s="593">
        <f t="shared" si="84"/>
        <v>0.8948814925931845</v>
      </c>
      <c r="EF21" s="594" t="str">
        <f t="shared" si="85"/>
        <v>n/a</v>
      </c>
      <c r="EG21" s="594">
        <f t="shared" si="86"/>
        <v>0.02559253703407832</v>
      </c>
      <c r="EH21" s="165">
        <f t="shared" si="87"/>
        <v>0.04474407462965922</v>
      </c>
      <c r="EI21" s="165" t="str">
        <f t="shared" si="88"/>
        <v>n/a</v>
      </c>
      <c r="EJ21" s="165">
        <f t="shared" si="89"/>
        <v>0.00036560767191540455</v>
      </c>
      <c r="EK21" s="167">
        <f t="shared" si="90"/>
        <v>0.045109682301574625</v>
      </c>
      <c r="EL21" s="165">
        <f t="shared" si="91"/>
        <v>0.8948814925931843</v>
      </c>
      <c r="EM21" s="165" t="str">
        <f t="shared" si="9"/>
        <v>n/a</v>
      </c>
      <c r="EN21" s="165">
        <f t="shared" si="92"/>
        <v>0.005118507406815662</v>
      </c>
      <c r="EO21" s="168">
        <f t="shared" si="93"/>
        <v>0.8999999999999999</v>
      </c>
      <c r="EP21" s="169"/>
      <c r="EQ21" s="165">
        <f t="shared" si="94"/>
        <v>3.5733333333333333</v>
      </c>
      <c r="ER21" s="165" t="str">
        <f t="shared" si="95"/>
        <v>n/a</v>
      </c>
      <c r="ES21" s="165">
        <f t="shared" si="96"/>
        <v>0.020438609229348217</v>
      </c>
      <c r="ET21" s="596">
        <f>IF(SUM(EQ21:ES21)&lt;$BZ$4,"",adjustparameter($AB21,0.01,SUM(EQ21,ER21,ES21)/$AB21,$BZ$4))</f>
        <v>0.12521662676210601</v>
      </c>
      <c r="EU21" s="166">
        <f t="shared" si="97"/>
        <v>0.749566746475788</v>
      </c>
      <c r="EV21" s="597">
        <f>IF($CK21="n/a","",IF(SUM(EQ21:ES21)&lt;$BZ$4,"",adjustparameter($AO21,0.5*$AO21,SUM(SUM(ES21)*ET21/$AB21/$AO21),($BZ$4-SUM(EQ21:ER21)*ET21/$AB21))))</f>
      </c>
      <c r="EW21" s="166">
        <f t="shared" si="98"/>
      </c>
      <c r="EX21" s="124"/>
      <c r="EY21" s="166">
        <f t="shared" si="99"/>
      </c>
      <c r="EZ21" s="124"/>
      <c r="FA21" s="166">
        <f t="shared" si="100"/>
      </c>
      <c r="FB21" s="595">
        <f t="shared" si="101"/>
      </c>
      <c r="FC21" s="165">
        <f>IF(FB21="","",VLOOKUP(FB21,Picklist!$C$2:$E$5,3))</f>
      </c>
      <c r="FD21" s="594">
        <f t="shared" si="102"/>
      </c>
      <c r="FE21" s="197"/>
      <c r="FF21" s="166">
        <f t="shared" si="10"/>
      </c>
      <c r="FG21" s="593">
        <f t="shared" si="103"/>
        <v>4.474407462965921</v>
      </c>
      <c r="FH21" s="594" t="str">
        <f t="shared" si="104"/>
        <v>n/a</v>
      </c>
      <c r="FI21" s="594">
        <f t="shared" si="105"/>
        <v>0.12796268517039153</v>
      </c>
      <c r="FJ21" s="165">
        <f t="shared" si="106"/>
        <v>0.22372037314829604</v>
      </c>
      <c r="FK21" s="165" t="str">
        <f t="shared" si="107"/>
        <v>n/a</v>
      </c>
      <c r="FL21" s="165">
        <f t="shared" si="108"/>
        <v>0.0018280383595770217</v>
      </c>
      <c r="FM21" s="167">
        <f t="shared" si="109"/>
        <v>0.22554841150787305</v>
      </c>
      <c r="FN21" s="165">
        <f t="shared" si="110"/>
        <v>0.8948814925931843</v>
      </c>
      <c r="FO21" s="165" t="str">
        <f t="shared" si="11"/>
        <v>n/a</v>
      </c>
      <c r="FP21" s="165">
        <f t="shared" si="111"/>
        <v>0.005118507406815662</v>
      </c>
      <c r="FQ21" s="168">
        <f t="shared" si="112"/>
        <v>0.8999999999999999</v>
      </c>
      <c r="FR21" s="169"/>
      <c r="FS21" s="165">
        <f t="shared" si="113"/>
        <v>0.8933333333333333</v>
      </c>
      <c r="FT21" s="165" t="str">
        <f t="shared" si="114"/>
        <v>n/a</v>
      </c>
      <c r="FU21" s="165">
        <f t="shared" si="115"/>
        <v>0.005109652307337054</v>
      </c>
      <c r="FV21" s="596">
        <f>IF(SUM(FS21:FU21)&lt;$BZ$4,"",adjustparameter($AB21,0.01,SUM(FS21,FT21,FU21)/$AB21,$BZ$4))</f>
      </c>
      <c r="FW21" s="166">
        <f t="shared" si="116"/>
      </c>
      <c r="FX21" s="597">
        <f>IF($CK21="n/a","",IF(SUM(FS21:FU21)&lt;$BZ$4,"",adjustparameter($AO21,0.5*$AO21,SUM(SUM(FU21)*FV21/$AB21/$AO21),($BZ$4-SUM(FS21:FT21)*FV21/$AB21))))</f>
      </c>
      <c r="FY21" s="166">
        <f t="shared" si="117"/>
      </c>
      <c r="FZ21" s="124"/>
      <c r="GA21" s="166">
        <f t="shared" si="118"/>
      </c>
      <c r="GB21" s="124"/>
      <c r="GC21" s="166">
        <f t="shared" si="119"/>
      </c>
      <c r="GD21" s="595">
        <f t="shared" si="120"/>
      </c>
      <c r="GE21" s="165">
        <f>IF(GD21="","",VLOOKUP(GD21,Picklist!$C$2:$E$5,3))</f>
      </c>
      <c r="GF21" s="594">
        <f t="shared" si="121"/>
      </c>
      <c r="GG21" s="197"/>
      <c r="GH21" s="166">
        <f t="shared" si="12"/>
      </c>
      <c r="GI21" s="593">
        <f t="shared" si="122"/>
        <v>17.866666666666667</v>
      </c>
      <c r="GJ21" s="594" t="str">
        <f t="shared" si="123"/>
        <v>n/a</v>
      </c>
      <c r="GK21" s="594">
        <f t="shared" si="124"/>
        <v>0.5109652307337055</v>
      </c>
      <c r="GL21" s="165">
        <f t="shared" si="125"/>
        <v>0.8933333333333333</v>
      </c>
      <c r="GM21" s="165" t="str">
        <f t="shared" si="126"/>
        <v>n/a</v>
      </c>
      <c r="GN21" s="165">
        <f t="shared" si="127"/>
        <v>0.0072995032961957924</v>
      </c>
      <c r="GO21" s="167">
        <f t="shared" si="128"/>
        <v>0.9006328366295291</v>
      </c>
      <c r="GP21" s="165">
        <f t="shared" si="129"/>
        <v>0.8933333333333333</v>
      </c>
      <c r="GQ21" s="165" t="str">
        <f t="shared" si="13"/>
        <v>n/a</v>
      </c>
      <c r="GR21" s="165">
        <f t="shared" si="130"/>
        <v>0.005109652307337054</v>
      </c>
      <c r="GS21" s="170">
        <f t="shared" si="131"/>
        <v>0.8984429856406704</v>
      </c>
      <c r="GT21" s="139"/>
      <c r="GU21" s="139"/>
      <c r="GV21" s="139"/>
      <c r="GW21" s="139"/>
      <c r="GX21" s="139"/>
      <c r="GY21" s="139"/>
      <c r="GZ21" s="139"/>
      <c r="HA21" s="139"/>
      <c r="HB21" s="139"/>
      <c r="HC21" s="139"/>
      <c r="HD21" s="139"/>
      <c r="HE21" s="139"/>
      <c r="HF21" s="139"/>
      <c r="HG21" s="139"/>
      <c r="HH21" s="139"/>
      <c r="HI21" s="139"/>
      <c r="HJ21" s="139"/>
      <c r="HK21" s="139"/>
      <c r="HL21" s="139"/>
      <c r="HM21" s="139"/>
      <c r="HN21" s="139"/>
      <c r="HO21" s="139"/>
      <c r="HP21" s="139"/>
      <c r="HQ21" s="139"/>
      <c r="HR21" s="139"/>
      <c r="HS21" s="139"/>
      <c r="HT21" s="139"/>
      <c r="HU21" s="139"/>
      <c r="HV21" s="139"/>
      <c r="HW21" s="139"/>
      <c r="HX21" s="139"/>
      <c r="HY21" s="139"/>
      <c r="HZ21" s="139"/>
      <c r="IA21" s="139"/>
      <c r="IB21" s="139"/>
      <c r="IC21" s="139"/>
      <c r="ID21" s="139"/>
      <c r="IE21" s="139"/>
      <c r="IF21" s="139"/>
      <c r="IG21" s="139"/>
      <c r="IH21" s="139"/>
      <c r="II21" s="139"/>
      <c r="IJ21" s="139"/>
      <c r="IK21" s="139"/>
      <c r="IL21" s="139"/>
      <c r="IM21" s="139"/>
      <c r="IN21" s="139"/>
    </row>
    <row r="22" spans="1:201" s="139" customFormat="1" ht="118.5">
      <c r="A22" s="144"/>
      <c r="B22" s="145"/>
      <c r="C22" s="146" t="s">
        <v>387</v>
      </c>
      <c r="D22" s="202" t="s">
        <v>176</v>
      </c>
      <c r="E22" s="203" t="s">
        <v>390</v>
      </c>
      <c r="F22" s="179">
        <v>0.6</v>
      </c>
      <c r="G22" s="121" t="s">
        <v>388</v>
      </c>
      <c r="H22" s="121"/>
      <c r="I22" s="121" t="s">
        <v>388</v>
      </c>
      <c r="J22" s="121" t="s">
        <v>139</v>
      </c>
      <c r="K22" s="121">
        <v>1</v>
      </c>
      <c r="L22" s="121">
        <v>857.5</v>
      </c>
      <c r="M22" s="121"/>
      <c r="N22" s="121">
        <v>50</v>
      </c>
      <c r="O22" s="121">
        <v>20</v>
      </c>
      <c r="P22" s="176">
        <v>1</v>
      </c>
      <c r="Q22" s="151">
        <f t="shared" si="14"/>
        <v>85.75000000000001</v>
      </c>
      <c r="R22" s="132" t="str">
        <f t="shared" si="15"/>
        <v>n/a</v>
      </c>
      <c r="S22" s="143">
        <f t="shared" si="16"/>
        <v>34.25</v>
      </c>
      <c r="T22" s="143">
        <f t="shared" si="17"/>
        <v>1500</v>
      </c>
      <c r="U22" s="143">
        <f t="shared" si="18"/>
        <v>1500</v>
      </c>
      <c r="V22" s="152">
        <f t="shared" si="19"/>
        <v>120.00000000000001</v>
      </c>
      <c r="W22" s="153">
        <f t="shared" si="20"/>
        <v>4.2875000000000005</v>
      </c>
      <c r="X22" s="154" t="str">
        <f t="shared" si="21"/>
        <v>n/a</v>
      </c>
      <c r="Y22" s="154" t="str">
        <f t="shared" si="22"/>
        <v>n/a</v>
      </c>
      <c r="Z22" s="154">
        <f t="shared" si="23"/>
        <v>21.428571428571427</v>
      </c>
      <c r="AA22" s="155">
        <f t="shared" si="24"/>
        <v>25.71607142857143</v>
      </c>
      <c r="AB22" s="88">
        <v>0.05</v>
      </c>
      <c r="AC22" s="88" t="s">
        <v>438</v>
      </c>
      <c r="AD22" s="608">
        <v>1</v>
      </c>
      <c r="AE22" s="134" t="s">
        <v>636</v>
      </c>
      <c r="AF22" s="92">
        <v>857.5</v>
      </c>
      <c r="AG22" s="204" t="s">
        <v>515</v>
      </c>
      <c r="AH22" s="297">
        <v>0.01</v>
      </c>
      <c r="AI22" s="297" t="s">
        <v>232</v>
      </c>
      <c r="AJ22" s="299"/>
      <c r="AK22" s="299"/>
      <c r="AL22" s="118"/>
      <c r="AM22" s="90"/>
      <c r="AN22" s="131"/>
      <c r="AO22" s="90">
        <v>15</v>
      </c>
      <c r="AP22" s="99" t="s">
        <v>425</v>
      </c>
      <c r="AQ22" s="312"/>
      <c r="AR22" s="101"/>
      <c r="AS22" s="142" t="s">
        <v>496</v>
      </c>
      <c r="AT22" s="120">
        <f t="shared" si="25"/>
        <v>0.6</v>
      </c>
      <c r="AU22" s="131" t="str">
        <f t="shared" si="132"/>
        <v>RIVM  general fact sheet</v>
      </c>
      <c r="AV22" s="131">
        <f t="shared" si="26"/>
        <v>0.8639392643942738</v>
      </c>
      <c r="AW22" s="156">
        <f t="shared" si="133"/>
        <v>20</v>
      </c>
      <c r="AX22" s="156" t="str">
        <f t="shared" si="134"/>
        <v>TRA default</v>
      </c>
      <c r="AY22" s="140">
        <f>30/60</f>
        <v>0.5</v>
      </c>
      <c r="AZ22" s="159" t="s">
        <v>424</v>
      </c>
      <c r="BA22" s="125">
        <f t="shared" si="0"/>
        <v>0.07145833333333336</v>
      </c>
      <c r="BB22" s="125">
        <f t="shared" si="1"/>
        <v>0.07145833333333336</v>
      </c>
      <c r="BC22" s="120">
        <f t="shared" si="27"/>
        <v>0.005</v>
      </c>
      <c r="BD22" s="120" t="str">
        <f t="shared" si="2"/>
        <v>n/a</v>
      </c>
      <c r="BE22" s="120" t="str">
        <f t="shared" si="3"/>
        <v>n/a</v>
      </c>
      <c r="BF22" s="120">
        <f t="shared" si="4"/>
        <v>0.3698739975687985</v>
      </c>
      <c r="BG22" s="120">
        <f t="shared" si="28"/>
        <v>32.397722414785264</v>
      </c>
      <c r="BH22" s="120">
        <f t="shared" si="29"/>
      </c>
      <c r="BI22" s="120">
        <f t="shared" si="5"/>
        <v>0.6749525503080264</v>
      </c>
      <c r="BJ22" s="158">
        <f t="shared" si="30"/>
        <v>0.6749525503080264</v>
      </c>
      <c r="BK22" s="159">
        <f t="shared" si="31"/>
        <v>0.44133233090213186</v>
      </c>
      <c r="BL22" s="160" t="str">
        <f t="shared" si="32"/>
        <v>n/a</v>
      </c>
      <c r="BM22" s="161" t="str">
        <f t="shared" si="33"/>
        <v>n/a</v>
      </c>
      <c r="BN22" s="161">
        <f t="shared" si="34"/>
        <v>0.003572916666666668</v>
      </c>
      <c r="BO22" s="162" t="str">
        <f t="shared" si="35"/>
        <v>n/a</v>
      </c>
      <c r="BP22" s="161">
        <f t="shared" si="36"/>
        <v>0.009642179290114662</v>
      </c>
      <c r="BQ22" s="162">
        <f t="shared" si="37"/>
        <v>0.01321509595678133</v>
      </c>
      <c r="BR22" s="161">
        <f t="shared" si="38"/>
        <v>0.003572916666666668</v>
      </c>
      <c r="BS22" s="161" t="str">
        <f t="shared" si="39"/>
        <v>n/a</v>
      </c>
      <c r="BT22" s="161">
        <f t="shared" si="40"/>
        <v>0.009642179290114662</v>
      </c>
      <c r="BU22" s="161">
        <f t="shared" si="41"/>
        <v>0.01321509595678133</v>
      </c>
      <c r="BV22" s="163" t="str">
        <f t="shared" si="42"/>
        <v>Unless otherwise stated, covers concentrations up to 5% [ConsOC1]; covers use up to 364 days/year[ConsOC3]; covers use up to 1 time/on day of use[ConsOC4]; covers skin contact area up to 857,50 cm2 [ConsOC5]; for each use event, covers use amounts up to 15g [ConsOC2]; covers use under typical household ventilation [ConsOC8]; covers use in room size of 20m3[ConsOC11]; for each use event, covers exposure up to 0,50hr/event[ConsOC14]; </v>
      </c>
      <c r="BW22" s="126" t="str">
        <f t="shared" si="43"/>
        <v>No specific RMMs identified beyond those OCs stated</v>
      </c>
      <c r="BX22" s="125" t="str">
        <f t="shared" si="44"/>
        <v>Based upon daily use</v>
      </c>
      <c r="BY22" s="120">
        <f t="shared" si="45"/>
        <v>0.003572916666666668</v>
      </c>
      <c r="BZ22" s="120" t="str">
        <f t="shared" si="46"/>
        <v>n/a</v>
      </c>
      <c r="CA22" s="120">
        <f t="shared" si="47"/>
        <v>0.009642179290114662</v>
      </c>
      <c r="CB22" s="164">
        <f t="shared" si="48"/>
        <v>0.01321509595678133</v>
      </c>
      <c r="CC22" s="120">
        <f t="shared" si="49"/>
        <v>0.07145833333333336</v>
      </c>
      <c r="CD22" s="120" t="str">
        <f t="shared" si="50"/>
        <v>n/a</v>
      </c>
      <c r="CE22" s="159">
        <f t="shared" si="51"/>
        <v>0.6749525503080264</v>
      </c>
      <c r="CF22" s="138"/>
      <c r="CG22" s="195" t="str">
        <f t="shared" si="135"/>
        <v>PC8_n: Biocidal products (excipient use only for solvent products)</v>
      </c>
      <c r="CH22" s="196" t="str">
        <f aca="true" t="shared" si="136" ref="CH22:CH51">E22</f>
        <v>Laundry and dish washing products</v>
      </c>
      <c r="CI22" s="120">
        <f t="shared" si="52"/>
        <v>0.07145833333333336</v>
      </c>
      <c r="CJ22" s="120" t="str">
        <f t="shared" si="53"/>
        <v>n/a</v>
      </c>
      <c r="CK22" s="120">
        <f t="shared" si="54"/>
        <v>0.6749525503080264</v>
      </c>
      <c r="CL22" s="165"/>
      <c r="CM22" s="165">
        <f t="shared" si="55"/>
        <v>0.7145833333333336</v>
      </c>
      <c r="CN22" s="165" t="str">
        <f t="shared" si="56"/>
        <v>n/a</v>
      </c>
      <c r="CO22" s="165">
        <f t="shared" si="57"/>
        <v>1.3499051006160527</v>
      </c>
      <c r="CP22" s="598">
        <f>IF(SUM(CM22:CO22)&lt;$BZ$4,"",adjustparameter($AB22,0.01,SUM(CM22,CN22,CO22)/$AB22,$BZ$4))</f>
        <v>0.021797167404766983</v>
      </c>
      <c r="CQ22" s="166">
        <f t="shared" si="58"/>
        <v>0.5640566519046604</v>
      </c>
      <c r="CR22" s="599">
        <f>IF($CK22="n/a","",IF(SUM(CM22:CO22)&lt;$BZ$4,"",adjustparameter($AO22,0.5*$AO22,SUM(SUM(CO22)*CP22/$AB22/$AO22),($BZ$4-SUM(CM22:CN22)*CP22/$AB22))))</f>
      </c>
      <c r="CS22" s="166">
        <f t="shared" si="59"/>
      </c>
      <c r="CT22" s="165"/>
      <c r="CU22" s="166">
        <f t="shared" si="60"/>
      </c>
      <c r="CV22" s="124"/>
      <c r="CW22" s="166">
        <f t="shared" si="61"/>
      </c>
      <c r="CX22" s="595">
        <f t="shared" si="62"/>
      </c>
      <c r="CY22" s="165">
        <f>IF(CX22="","",VLOOKUP(CX22,Picklist!$C$2:$E$5,3))</f>
      </c>
      <c r="CZ22" s="594">
        <f t="shared" si="63"/>
      </c>
      <c r="DA22" s="165"/>
      <c r="DB22" s="166">
        <f t="shared" si="64"/>
      </c>
      <c r="DC22" s="165">
        <f t="shared" si="65"/>
        <v>0.031151785082646155</v>
      </c>
      <c r="DD22" s="165" t="str">
        <f t="shared" si="66"/>
        <v>n/a</v>
      </c>
      <c r="DE22" s="165">
        <f t="shared" si="67"/>
        <v>0.2942410745867692</v>
      </c>
      <c r="DF22" s="165">
        <f t="shared" si="68"/>
        <v>0.0015575892541323077</v>
      </c>
      <c r="DG22" s="165" t="str">
        <f t="shared" si="69"/>
        <v>n/a</v>
      </c>
      <c r="DH22" s="165">
        <f t="shared" si="70"/>
        <v>0.004203443922668131</v>
      </c>
      <c r="DI22" s="167">
        <f t="shared" si="71"/>
        <v>0.005761033176800439</v>
      </c>
      <c r="DJ22" s="165">
        <f t="shared" si="72"/>
        <v>0.31151785082646155</v>
      </c>
      <c r="DK22" s="165" t="str">
        <f t="shared" si="7"/>
        <v>n/a</v>
      </c>
      <c r="DL22" s="165">
        <f t="shared" si="73"/>
        <v>0.5884821491735384</v>
      </c>
      <c r="DM22" s="168">
        <f t="shared" si="74"/>
        <v>0.8999999999999999</v>
      </c>
      <c r="DN22" s="185"/>
      <c r="DO22" s="165">
        <f t="shared" si="75"/>
        <v>0.07145833333333336</v>
      </c>
      <c r="DP22" s="165" t="str">
        <f t="shared" si="76"/>
        <v>n/a</v>
      </c>
      <c r="DQ22" s="165">
        <f t="shared" si="77"/>
        <v>0.13499051006160528</v>
      </c>
      <c r="DR22" s="598">
        <f>IF(SUM(DO22:DQ22)&lt;$BZ$4,"",adjustparameter($AB22,0.01,SUM(DO22,DP22,DQ22)/$AB22,$BZ$4))</f>
      </c>
      <c r="DS22" s="166">
        <f t="shared" si="78"/>
      </c>
      <c r="DT22" s="597">
        <f>IF($CK22="n/a","",IF(SUM(DO22:DQ22)&lt;$BZ$4,"",adjustparameter($AO22,0.5*$AO22,SUM(SUM(DQ22)*DR22/$AB22/$AO22),($BZ$4-SUM(DO22:DP22)*DR22/$AB22))))</f>
      </c>
      <c r="DU22" s="166">
        <f t="shared" si="8"/>
      </c>
      <c r="DV22" s="165"/>
      <c r="DW22" s="166">
        <f t="shared" si="79"/>
      </c>
      <c r="DX22" s="165"/>
      <c r="DY22" s="166">
        <f t="shared" si="80"/>
      </c>
      <c r="DZ22" s="595">
        <f t="shared" si="81"/>
      </c>
      <c r="EA22" s="165">
        <f>IF(DZ22="","",VLOOKUP(DZ22,Picklist!$C$2:$E$5,3))</f>
      </c>
      <c r="EB22" s="594">
        <f t="shared" si="82"/>
      </c>
      <c r="EC22" s="165"/>
      <c r="ED22" s="166">
        <f t="shared" si="83"/>
      </c>
      <c r="EE22" s="593">
        <f t="shared" si="84"/>
        <v>0.07145833333333336</v>
      </c>
      <c r="EF22" s="594" t="str">
        <f t="shared" si="85"/>
        <v>n/a</v>
      </c>
      <c r="EG22" s="594">
        <f t="shared" si="86"/>
        <v>0.6749525503080264</v>
      </c>
      <c r="EH22" s="165">
        <f t="shared" si="87"/>
        <v>0.003572916666666668</v>
      </c>
      <c r="EI22" s="165" t="str">
        <f t="shared" si="88"/>
        <v>n/a</v>
      </c>
      <c r="EJ22" s="165">
        <f t="shared" si="89"/>
        <v>0.009642179290114662</v>
      </c>
      <c r="EK22" s="167">
        <f t="shared" si="90"/>
        <v>0.01321509595678133</v>
      </c>
      <c r="EL22" s="165">
        <f t="shared" si="91"/>
        <v>0.07145833333333336</v>
      </c>
      <c r="EM22" s="165" t="str">
        <f t="shared" si="9"/>
        <v>n/a</v>
      </c>
      <c r="EN22" s="165">
        <f t="shared" si="92"/>
        <v>0.13499051006160528</v>
      </c>
      <c r="EO22" s="168">
        <f t="shared" si="93"/>
        <v>0.20644884339493863</v>
      </c>
      <c r="EP22" s="185"/>
      <c r="EQ22" s="165">
        <f t="shared" si="94"/>
        <v>0.014291666666666671</v>
      </c>
      <c r="ER22" s="165" t="str">
        <f t="shared" si="95"/>
        <v>n/a</v>
      </c>
      <c r="ES22" s="165">
        <f t="shared" si="96"/>
        <v>0.026998102012321053</v>
      </c>
      <c r="ET22" s="596">
        <f>IF(SUM(EQ22:ES22)&lt;$BZ$4,"",adjustparameter($AB22,0.01,SUM(EQ22,ER22,ES22)/$AB22,$BZ$4))</f>
      </c>
      <c r="EU22" s="166">
        <f t="shared" si="97"/>
      </c>
      <c r="EV22" s="597">
        <f>IF($CK22="n/a","",IF(SUM(EQ22:ES22)&lt;$BZ$4,"",adjustparameter($AO22,0.5*$AO22,SUM(SUM(ES22)*ET22/$AB22/$AO22),($BZ$4-SUM(EQ22:ER22)*ET22/$AB22))))</f>
      </c>
      <c r="EW22" s="166">
        <f t="shared" si="98"/>
      </c>
      <c r="EX22" s="165"/>
      <c r="EY22" s="166">
        <f t="shared" si="99"/>
      </c>
      <c r="EZ22" s="177"/>
      <c r="FA22" s="166">
        <f t="shared" si="100"/>
      </c>
      <c r="FB22" s="595">
        <f t="shared" si="101"/>
      </c>
      <c r="FC22" s="165">
        <f>IF(FB22="","",VLOOKUP(FB22,Picklist!$C$2:$E$5,3))</f>
      </c>
      <c r="FD22" s="594">
        <f t="shared" si="102"/>
      </c>
      <c r="FE22" s="165"/>
      <c r="FF22" s="166">
        <f t="shared" si="10"/>
      </c>
      <c r="FG22" s="593">
        <f t="shared" si="103"/>
        <v>0.07145833333333336</v>
      </c>
      <c r="FH22" s="594" t="str">
        <f t="shared" si="104"/>
        <v>n/a</v>
      </c>
      <c r="FI22" s="594">
        <f t="shared" si="105"/>
        <v>0.6749525503080264</v>
      </c>
      <c r="FJ22" s="165">
        <f t="shared" si="106"/>
        <v>0.003572916666666668</v>
      </c>
      <c r="FK22" s="165" t="str">
        <f t="shared" si="107"/>
        <v>n/a</v>
      </c>
      <c r="FL22" s="165">
        <f t="shared" si="108"/>
        <v>0.009642179290114662</v>
      </c>
      <c r="FM22" s="167">
        <f t="shared" si="109"/>
        <v>0.01321509595678133</v>
      </c>
      <c r="FN22" s="165">
        <f t="shared" si="110"/>
        <v>0.014291666666666671</v>
      </c>
      <c r="FO22" s="165" t="str">
        <f t="shared" si="11"/>
        <v>n/a</v>
      </c>
      <c r="FP22" s="165">
        <f t="shared" si="111"/>
        <v>0.026998102012321053</v>
      </c>
      <c r="FQ22" s="168">
        <f t="shared" si="112"/>
        <v>0.041289768678987725</v>
      </c>
      <c r="FR22" s="185"/>
      <c r="FS22" s="165">
        <f t="shared" si="113"/>
        <v>0.003572916666666668</v>
      </c>
      <c r="FT22" s="165" t="str">
        <f t="shared" si="114"/>
        <v>n/a</v>
      </c>
      <c r="FU22" s="165">
        <f t="shared" si="115"/>
        <v>0.006749525503080263</v>
      </c>
      <c r="FV22" s="596">
        <f>IF(SUM(FS22:FU22)&lt;$BZ$4,"",adjustparameter($AB22,0.01,SUM(FS22,FT22,FU22)/$AB22,$BZ$4))</f>
      </c>
      <c r="FW22" s="166">
        <f t="shared" si="116"/>
      </c>
      <c r="FX22" s="597">
        <f>IF($CK22="n/a","",IF(SUM(FS22:FU22)&lt;$BZ$4,"",adjustparameter($AO22,0.5*$AO22,SUM(SUM(FU22)*FV22/$AB22/$AO22),($BZ$4-SUM(FS22:FT22)*FV22/$AB22))))</f>
      </c>
      <c r="FY22" s="166">
        <f t="shared" si="117"/>
      </c>
      <c r="FZ22" s="165"/>
      <c r="GA22" s="166">
        <f t="shared" si="118"/>
      </c>
      <c r="GB22" s="165"/>
      <c r="GC22" s="166">
        <f t="shared" si="119"/>
      </c>
      <c r="GD22" s="595">
        <f t="shared" si="120"/>
      </c>
      <c r="GE22" s="165">
        <f>IF(GD22="","",VLOOKUP(GD22,Picklist!$C$2:$E$5,3))</f>
      </c>
      <c r="GF22" s="594">
        <f t="shared" si="121"/>
      </c>
      <c r="GG22" s="165"/>
      <c r="GH22" s="166">
        <f t="shared" si="12"/>
      </c>
      <c r="GI22" s="593">
        <f t="shared" si="122"/>
        <v>0.07145833333333336</v>
      </c>
      <c r="GJ22" s="594" t="str">
        <f t="shared" si="123"/>
        <v>n/a</v>
      </c>
      <c r="GK22" s="594">
        <f t="shared" si="124"/>
        <v>0.6749525503080264</v>
      </c>
      <c r="GL22" s="165">
        <f t="shared" si="125"/>
        <v>0.003572916666666668</v>
      </c>
      <c r="GM22" s="165" t="str">
        <f t="shared" si="126"/>
        <v>n/a</v>
      </c>
      <c r="GN22" s="165">
        <f t="shared" si="127"/>
        <v>0.009642179290114662</v>
      </c>
      <c r="GO22" s="167">
        <f t="shared" si="128"/>
        <v>0.01321509595678133</v>
      </c>
      <c r="GP22" s="165">
        <f t="shared" si="129"/>
        <v>0.003572916666666668</v>
      </c>
      <c r="GQ22" s="165" t="str">
        <f t="shared" si="13"/>
        <v>n/a</v>
      </c>
      <c r="GR22" s="165">
        <f t="shared" si="130"/>
        <v>0.006749525503080263</v>
      </c>
      <c r="GS22" s="170">
        <f t="shared" si="131"/>
        <v>0.010322442169746931</v>
      </c>
    </row>
    <row r="23" spans="1:201" s="139" customFormat="1" ht="118.5">
      <c r="A23" s="144"/>
      <c r="B23" s="145"/>
      <c r="C23" s="146" t="s">
        <v>387</v>
      </c>
      <c r="D23" s="202" t="s">
        <v>176</v>
      </c>
      <c r="E23" s="205" t="s">
        <v>465</v>
      </c>
      <c r="F23" s="179">
        <v>0.5</v>
      </c>
      <c r="G23" s="121" t="s">
        <v>388</v>
      </c>
      <c r="H23" s="121"/>
      <c r="I23" s="121" t="s">
        <v>388</v>
      </c>
      <c r="J23" s="121" t="s">
        <v>139</v>
      </c>
      <c r="K23" s="121">
        <v>1</v>
      </c>
      <c r="L23" s="121">
        <v>857.5</v>
      </c>
      <c r="M23" s="121"/>
      <c r="N23" s="121">
        <v>250</v>
      </c>
      <c r="O23" s="121">
        <v>20</v>
      </c>
      <c r="P23" s="206">
        <v>0.3333333333333333</v>
      </c>
      <c r="Q23" s="151">
        <f t="shared" si="14"/>
        <v>71.45833333333334</v>
      </c>
      <c r="R23" s="132" t="str">
        <f t="shared" si="15"/>
        <v>n/a</v>
      </c>
      <c r="S23" s="143">
        <f t="shared" si="16"/>
        <v>47.56944444444445</v>
      </c>
      <c r="T23" s="143">
        <f t="shared" si="17"/>
        <v>6250</v>
      </c>
      <c r="U23" s="143">
        <f t="shared" si="18"/>
        <v>6250</v>
      </c>
      <c r="V23" s="152">
        <f t="shared" si="19"/>
        <v>119.0277777777778</v>
      </c>
      <c r="W23" s="153">
        <f t="shared" si="20"/>
        <v>3.572916666666667</v>
      </c>
      <c r="X23" s="154" t="str">
        <f t="shared" si="21"/>
        <v>n/a</v>
      </c>
      <c r="Y23" s="154" t="str">
        <f t="shared" si="22"/>
        <v>n/a</v>
      </c>
      <c r="Z23" s="154">
        <f t="shared" si="23"/>
        <v>89.28571428571429</v>
      </c>
      <c r="AA23" s="155">
        <f t="shared" si="24"/>
        <v>92.85863095238096</v>
      </c>
      <c r="AB23" s="88">
        <v>0.05</v>
      </c>
      <c r="AC23" s="88" t="s">
        <v>438</v>
      </c>
      <c r="AD23" s="219">
        <v>1</v>
      </c>
      <c r="AE23" s="134" t="s">
        <v>647</v>
      </c>
      <c r="AF23" s="92">
        <v>857.5</v>
      </c>
      <c r="AG23" s="204" t="s">
        <v>515</v>
      </c>
      <c r="AH23" s="297">
        <v>1</v>
      </c>
      <c r="AI23" s="297" t="s">
        <v>233</v>
      </c>
      <c r="AJ23" s="299">
        <v>1</v>
      </c>
      <c r="AK23" s="299" t="s">
        <v>30</v>
      </c>
      <c r="AL23" s="178"/>
      <c r="AM23" s="90"/>
      <c r="AN23" s="131"/>
      <c r="AO23" s="90">
        <v>27</v>
      </c>
      <c r="AP23" s="99" t="s">
        <v>427</v>
      </c>
      <c r="AQ23" s="312"/>
      <c r="AR23" s="101"/>
      <c r="AS23" s="142" t="s">
        <v>496</v>
      </c>
      <c r="AT23" s="120">
        <f t="shared" si="25"/>
        <v>0.6</v>
      </c>
      <c r="AU23" s="131" t="str">
        <f t="shared" si="132"/>
        <v>RIVM  general fact sheet</v>
      </c>
      <c r="AV23" s="131">
        <f t="shared" si="26"/>
        <v>0.9072229639503482</v>
      </c>
      <c r="AW23" s="156">
        <f t="shared" si="133"/>
        <v>20</v>
      </c>
      <c r="AX23" s="156" t="str">
        <f t="shared" si="134"/>
        <v>TRA default</v>
      </c>
      <c r="AY23" s="140">
        <v>0.33</v>
      </c>
      <c r="AZ23" s="192" t="s">
        <v>426</v>
      </c>
      <c r="BA23" s="125">
        <f t="shared" si="0"/>
        <v>7.145833333333335</v>
      </c>
      <c r="BB23" s="125">
        <f t="shared" si="1"/>
        <v>7.145833333333335</v>
      </c>
      <c r="BC23" s="120">
        <f t="shared" si="27"/>
        <v>0.5</v>
      </c>
      <c r="BD23" s="120" t="str">
        <f t="shared" si="2"/>
        <v>n/a</v>
      </c>
      <c r="BE23" s="120" t="str">
        <f t="shared" si="3"/>
        <v>n/a</v>
      </c>
      <c r="BF23" s="120">
        <f t="shared" si="4"/>
        <v>0.46142493975219667</v>
      </c>
      <c r="BG23" s="120">
        <f t="shared" si="28"/>
        <v>61.23755006664851</v>
      </c>
      <c r="BH23" s="120">
        <f t="shared" si="29"/>
      </c>
      <c r="BI23" s="120">
        <f t="shared" si="5"/>
        <v>0.842016313416417</v>
      </c>
      <c r="BJ23" s="158">
        <f t="shared" si="30"/>
        <v>0.842016313416417</v>
      </c>
      <c r="BK23" s="159">
        <f t="shared" si="31"/>
        <v>7.607258273085532</v>
      </c>
      <c r="BL23" s="160" t="str">
        <f t="shared" si="32"/>
        <v>n/a</v>
      </c>
      <c r="BM23" s="161" t="str">
        <f t="shared" si="33"/>
        <v>n/a</v>
      </c>
      <c r="BN23" s="161">
        <f t="shared" si="34"/>
        <v>0.35729166666666673</v>
      </c>
      <c r="BO23" s="162" t="str">
        <f t="shared" si="35"/>
        <v>n/a</v>
      </c>
      <c r="BP23" s="161">
        <f t="shared" si="36"/>
        <v>0.012028804477377386</v>
      </c>
      <c r="BQ23" s="162">
        <f t="shared" si="37"/>
        <v>0.3693204711440441</v>
      </c>
      <c r="BR23" s="161">
        <f t="shared" si="38"/>
        <v>0.35729166666666673</v>
      </c>
      <c r="BS23" s="161" t="str">
        <f t="shared" si="39"/>
        <v>n/a</v>
      </c>
      <c r="BT23" s="161">
        <f t="shared" si="40"/>
        <v>0.012028804477377386</v>
      </c>
      <c r="BU23" s="161">
        <f t="shared" si="41"/>
        <v>0.3693204711440441</v>
      </c>
      <c r="BV23" s="163" t="str">
        <f t="shared" si="42"/>
        <v>Unless otherwise stated, covers concentrations up to 5% [ConsOC1]; covers use up to 364 days/year[ConsOC3]; covers use up to 1 time/on day of use[ConsOC4]; covers skin contact area up to 857,50 cm2 [ConsOC5]; for each use event, covers use amounts up to 27g [ConsOC2]; covers use under typical household ventilation [ConsOC8]; covers use in room size of 20m3[ConsOC11]; for each use event, covers exposure up to 0,33hr/event[ConsOC14]; </v>
      </c>
      <c r="BW23" s="126" t="str">
        <f t="shared" si="43"/>
        <v>No specific RMMs identified beyond those OCs stated</v>
      </c>
      <c r="BX23" s="125" t="str">
        <f t="shared" si="44"/>
        <v>Based upon daily use</v>
      </c>
      <c r="BY23" s="120">
        <f t="shared" si="45"/>
        <v>0.35729166666666673</v>
      </c>
      <c r="BZ23" s="120" t="str">
        <f t="shared" si="46"/>
        <v>n/a</v>
      </c>
      <c r="CA23" s="120">
        <f t="shared" si="47"/>
        <v>0.012028804477377386</v>
      </c>
      <c r="CB23" s="164">
        <f t="shared" si="48"/>
        <v>0.3693204711440441</v>
      </c>
      <c r="CC23" s="120">
        <f t="shared" si="49"/>
        <v>7.145833333333335</v>
      </c>
      <c r="CD23" s="120" t="str">
        <f t="shared" si="50"/>
        <v>n/a</v>
      </c>
      <c r="CE23" s="159">
        <f t="shared" si="51"/>
        <v>0.842016313416417</v>
      </c>
      <c r="CF23" s="138"/>
      <c r="CG23" s="195" t="str">
        <f t="shared" si="135"/>
        <v>PC8_n: Biocidal products (excipient use only for solvent products)</v>
      </c>
      <c r="CH23" s="196" t="str">
        <f t="shared" si="136"/>
        <v>Cleaners, liquids (all purpose cleaners, sanitary products, floor cleaners, glass cleaners, carpet cleaners, metal cleaners ) </v>
      </c>
      <c r="CI23" s="120">
        <f t="shared" si="52"/>
        <v>7.145833333333335</v>
      </c>
      <c r="CJ23" s="120" t="str">
        <f t="shared" si="53"/>
        <v>n/a</v>
      </c>
      <c r="CK23" s="120">
        <f t="shared" si="54"/>
        <v>0.842016313416417</v>
      </c>
      <c r="CL23" s="165"/>
      <c r="CM23" s="165">
        <f t="shared" si="55"/>
        <v>71.45833333333334</v>
      </c>
      <c r="CN23" s="165" t="str">
        <f t="shared" si="56"/>
        <v>n/a</v>
      </c>
      <c r="CO23" s="165">
        <f t="shared" si="57"/>
        <v>1.684032626832834</v>
      </c>
      <c r="CP23" s="598">
        <f>IF(SUM(CM23:CO23)&lt;$BZ$4,"",adjustparameter($AB23,0.01,SUM(CM23,CN23,CO23)/$AB23,$BZ$4))</f>
        <v>0.01</v>
      </c>
      <c r="CQ23" s="166">
        <f t="shared" si="58"/>
        <v>0.7999999999999999</v>
      </c>
      <c r="CR23" s="599">
        <f>IF($CK23="n/a","",IF(SUM(CM23:CO23)&lt;$BZ$4,"",adjustparameter($AO23,0.5*$AO23,SUM(SUM(CO23)*CP23/$AB23/$AO23),($BZ$4-SUM(CM23:CN23)*CP23/$AB23))))</f>
        <v>13.5</v>
      </c>
      <c r="CS23" s="166">
        <f t="shared" si="59"/>
        <v>0.5</v>
      </c>
      <c r="CT23" s="165"/>
      <c r="CU23" s="166">
        <f t="shared" si="60"/>
      </c>
      <c r="CV23" s="124"/>
      <c r="CW23" s="166">
        <f t="shared" si="61"/>
      </c>
      <c r="CX23" s="595" t="str">
        <f t="shared" si="62"/>
        <v>indoor, ventilation</v>
      </c>
      <c r="CY23" s="165">
        <f>IF(CX23="","",VLOOKUP(CX23,Picklist!$C$2:$E$5,3))</f>
        <v>2.5</v>
      </c>
      <c r="CZ23" s="594">
        <f t="shared" si="63"/>
        <v>0.24943777999656716</v>
      </c>
      <c r="DA23" s="165"/>
      <c r="DB23" s="166">
        <f t="shared" si="64"/>
      </c>
      <c r="DC23" s="165">
        <f t="shared" si="65"/>
        <v>1.4291666666666674</v>
      </c>
      <c r="DD23" s="165" t="str">
        <f t="shared" si="66"/>
        <v>n/a</v>
      </c>
      <c r="DE23" s="165">
        <f t="shared" si="67"/>
        <v>0.06319856334769325</v>
      </c>
      <c r="DF23" s="165">
        <f t="shared" si="68"/>
        <v>0.07145833333333337</v>
      </c>
      <c r="DG23" s="165" t="str">
        <f t="shared" si="69"/>
        <v>n/a</v>
      </c>
      <c r="DH23" s="165">
        <f t="shared" si="70"/>
        <v>0.0009028366192527607</v>
      </c>
      <c r="DI23" s="167">
        <f t="shared" si="71"/>
        <v>0.07236116995258614</v>
      </c>
      <c r="DJ23" s="165">
        <f t="shared" si="72"/>
        <v>14.291666666666668</v>
      </c>
      <c r="DK23" s="165" t="str">
        <f t="shared" si="7"/>
        <v>n/a</v>
      </c>
      <c r="DL23" s="165">
        <f t="shared" si="73"/>
        <v>0.12639712669538644</v>
      </c>
      <c r="DM23" s="168">
        <f t="shared" si="74"/>
        <v>14.418063793362053</v>
      </c>
      <c r="DN23" s="185"/>
      <c r="DO23" s="165">
        <f t="shared" si="75"/>
        <v>7.145833333333335</v>
      </c>
      <c r="DP23" s="165" t="str">
        <f t="shared" si="76"/>
        <v>n/a</v>
      </c>
      <c r="DQ23" s="165">
        <f t="shared" si="77"/>
        <v>0.1684032626832834</v>
      </c>
      <c r="DR23" s="598">
        <f>IF(SUM(DO23:DQ23)&lt;$BZ$4,"",adjustparameter($AB23,0.01,SUM(DO23,DP23,DQ23)/$AB23,$BZ$4))</f>
        <v>0.01</v>
      </c>
      <c r="DS23" s="166">
        <f t="shared" si="78"/>
        <v>0.7999999999999999</v>
      </c>
      <c r="DT23" s="597">
        <f>IF($CK23="n/a","",IF(SUM(DO23:DQ23)&lt;$BZ$4,"",adjustparameter($AO23,0.5*$AO23,SUM(SUM(DQ23)*DR23/$AB23/$AO23),($BZ$4-SUM(DO23:DP23)*DR23/$AB23))))</f>
        <v>13.5</v>
      </c>
      <c r="DU23" s="166">
        <f t="shared" si="8"/>
        <v>0.5</v>
      </c>
      <c r="DV23" s="165"/>
      <c r="DW23" s="166">
        <f t="shared" si="79"/>
      </c>
      <c r="DX23" s="165"/>
      <c r="DY23" s="166">
        <f t="shared" si="80"/>
      </c>
      <c r="DZ23" s="595" t="str">
        <f t="shared" si="81"/>
        <v>indoor, ventilation</v>
      </c>
      <c r="EA23" s="165">
        <f>IF(DZ23="","",VLOOKUP(DZ23,Picklist!$C$2:$E$5,3))</f>
        <v>2.5</v>
      </c>
      <c r="EB23" s="594">
        <f t="shared" si="82"/>
        <v>0.24943777999656716</v>
      </c>
      <c r="EC23" s="165"/>
      <c r="ED23" s="166">
        <f t="shared" si="83"/>
      </c>
      <c r="EE23" s="593">
        <f t="shared" si="84"/>
        <v>1.4291666666666674</v>
      </c>
      <c r="EF23" s="594" t="str">
        <f t="shared" si="85"/>
        <v>n/a</v>
      </c>
      <c r="EG23" s="594">
        <f t="shared" si="86"/>
        <v>0.06319856334769325</v>
      </c>
      <c r="EH23" s="165">
        <f t="shared" si="87"/>
        <v>0.07145833333333337</v>
      </c>
      <c r="EI23" s="165" t="str">
        <f t="shared" si="88"/>
        <v>n/a</v>
      </c>
      <c r="EJ23" s="165">
        <f t="shared" si="89"/>
        <v>0.0009028366192527607</v>
      </c>
      <c r="EK23" s="167">
        <f t="shared" si="90"/>
        <v>0.07236116995258614</v>
      </c>
      <c r="EL23" s="165">
        <f t="shared" si="91"/>
        <v>1.429166666666667</v>
      </c>
      <c r="EM23" s="165" t="str">
        <f t="shared" si="9"/>
        <v>n/a</v>
      </c>
      <c r="EN23" s="165">
        <f t="shared" si="92"/>
        <v>0.012639712669538644</v>
      </c>
      <c r="EO23" s="168">
        <f t="shared" si="93"/>
        <v>1.4418063793362055</v>
      </c>
      <c r="EP23" s="185"/>
      <c r="EQ23" s="165">
        <f t="shared" si="94"/>
        <v>1.429166666666667</v>
      </c>
      <c r="ER23" s="165" t="str">
        <f t="shared" si="95"/>
        <v>n/a</v>
      </c>
      <c r="ES23" s="165">
        <f t="shared" si="96"/>
        <v>0.03368065253665668</v>
      </c>
      <c r="ET23" s="596">
        <f>IF(SUM(EQ23:ES23)&lt;$BZ$4,"",adjustparameter($AB23,0.01,SUM(EQ23,ER23,ES23)/$AB23,$BZ$4))</f>
        <v>0.03076192532827507</v>
      </c>
      <c r="EU23" s="166">
        <f t="shared" si="97"/>
        <v>0.38476149343449867</v>
      </c>
      <c r="EV23" s="597">
        <f>IF($CK23="n/a","",IF(SUM(EQ23:ES23)&lt;$BZ$4,"",adjustparameter($AO23,0.5*$AO23,SUM(SUM(ES23)*ET23/$AB23/$AO23),($BZ$4-SUM(EQ23:ER23)*ET23/$AB23))))</f>
        <v>26.999999999999808</v>
      </c>
      <c r="EW23" s="166">
        <f t="shared" si="98"/>
        <v>7.105427357601002E-15</v>
      </c>
      <c r="EX23" s="165"/>
      <c r="EY23" s="166">
        <f t="shared" si="99"/>
      </c>
      <c r="EZ23" s="177"/>
      <c r="FA23" s="166">
        <f t="shared" si="100"/>
      </c>
      <c r="FB23" s="595">
        <f t="shared" si="101"/>
      </c>
      <c r="FC23" s="165">
        <f>IF(FB23="","",VLOOKUP(FB23,Picklist!$C$2:$E$5,3))</f>
      </c>
      <c r="FD23" s="594">
        <f t="shared" si="102"/>
      </c>
      <c r="FE23" s="165"/>
      <c r="FF23" s="166">
        <f t="shared" si="10"/>
      </c>
      <c r="FG23" s="593">
        <f t="shared" si="103"/>
        <v>4.396391828165979</v>
      </c>
      <c r="FH23" s="594" t="str">
        <f t="shared" si="104"/>
        <v>n/a</v>
      </c>
      <c r="FI23" s="594">
        <f t="shared" si="105"/>
        <v>0.5180408591701018</v>
      </c>
      <c r="FJ23" s="165">
        <f t="shared" si="106"/>
        <v>0.21981959140829893</v>
      </c>
      <c r="FK23" s="165" t="str">
        <f t="shared" si="107"/>
        <v>n/a</v>
      </c>
      <c r="FL23" s="165">
        <f t="shared" si="108"/>
        <v>0.007400583702430025</v>
      </c>
      <c r="FM23" s="167">
        <f t="shared" si="109"/>
        <v>0.22722017511072895</v>
      </c>
      <c r="FN23" s="165">
        <f t="shared" si="110"/>
        <v>0.8792783656331958</v>
      </c>
      <c r="FO23" s="165" t="str">
        <f t="shared" si="11"/>
        <v>n/a</v>
      </c>
      <c r="FP23" s="165">
        <f t="shared" si="111"/>
        <v>0.02072163436680408</v>
      </c>
      <c r="FQ23" s="168">
        <f t="shared" si="112"/>
        <v>0.8999999999999999</v>
      </c>
      <c r="FR23" s="185"/>
      <c r="FS23" s="165">
        <f t="shared" si="113"/>
        <v>0.35729166666666673</v>
      </c>
      <c r="FT23" s="165" t="str">
        <f t="shared" si="114"/>
        <v>n/a</v>
      </c>
      <c r="FU23" s="165">
        <f t="shared" si="115"/>
        <v>0.00842016313416417</v>
      </c>
      <c r="FV23" s="596">
        <f>IF(SUM(FS23:FU23)&lt;$BZ$4,"",adjustparameter($AB23,0.01,SUM(FS23,FT23,FU23)/$AB23,$BZ$4))</f>
      </c>
      <c r="FW23" s="166">
        <f t="shared" si="116"/>
      </c>
      <c r="FX23" s="597">
        <f>IF($CK23="n/a","",IF(SUM(FS23:FU23)&lt;$BZ$4,"",adjustparameter($AO23,0.5*$AO23,SUM(SUM(FU23)*FV23/$AB23/$AO23),($BZ$4-SUM(FS23:FT23)*FV23/$AB23))))</f>
      </c>
      <c r="FY23" s="166">
        <f t="shared" si="117"/>
      </c>
      <c r="FZ23" s="165"/>
      <c r="GA23" s="166">
        <f t="shared" si="118"/>
      </c>
      <c r="GB23" s="165"/>
      <c r="GC23" s="166">
        <f t="shared" si="119"/>
      </c>
      <c r="GD23" s="595">
        <f t="shared" si="120"/>
      </c>
      <c r="GE23" s="165">
        <f>IF(GD23="","",VLOOKUP(GD23,Picklist!$C$2:$E$5,3))</f>
      </c>
      <c r="GF23" s="594">
        <f t="shared" si="121"/>
      </c>
      <c r="GG23" s="165"/>
      <c r="GH23" s="166">
        <f t="shared" si="12"/>
      </c>
      <c r="GI23" s="593">
        <f t="shared" si="122"/>
        <v>7.145833333333335</v>
      </c>
      <c r="GJ23" s="594" t="str">
        <f t="shared" si="123"/>
        <v>n/a</v>
      </c>
      <c r="GK23" s="594">
        <f t="shared" si="124"/>
        <v>0.842016313416417</v>
      </c>
      <c r="GL23" s="165">
        <f t="shared" si="125"/>
        <v>0.35729166666666673</v>
      </c>
      <c r="GM23" s="165" t="str">
        <f t="shared" si="126"/>
        <v>n/a</v>
      </c>
      <c r="GN23" s="165">
        <f t="shared" si="127"/>
        <v>0.012028804477377386</v>
      </c>
      <c r="GO23" s="167">
        <f t="shared" si="128"/>
        <v>0.3693204711440441</v>
      </c>
      <c r="GP23" s="165">
        <f t="shared" si="129"/>
        <v>0.35729166666666673</v>
      </c>
      <c r="GQ23" s="165" t="str">
        <f t="shared" si="13"/>
        <v>n/a</v>
      </c>
      <c r="GR23" s="165">
        <f t="shared" si="130"/>
        <v>0.00842016313416417</v>
      </c>
      <c r="GS23" s="170">
        <f t="shared" si="131"/>
        <v>0.3657118298008309</v>
      </c>
    </row>
    <row r="24" spans="1:201" s="139" customFormat="1" ht="76.5" customHeight="1">
      <c r="A24" s="144"/>
      <c r="B24" s="145"/>
      <c r="C24" s="207" t="s">
        <v>387</v>
      </c>
      <c r="D24" s="202" t="s">
        <v>176</v>
      </c>
      <c r="E24" s="208" t="s">
        <v>56</v>
      </c>
      <c r="F24" s="209">
        <v>0.2</v>
      </c>
      <c r="G24" s="128" t="s">
        <v>388</v>
      </c>
      <c r="H24" s="128"/>
      <c r="I24" s="128" t="s">
        <v>388</v>
      </c>
      <c r="J24" s="128" t="s">
        <v>398</v>
      </c>
      <c r="K24" s="128">
        <v>1</v>
      </c>
      <c r="L24" s="128">
        <v>857.5</v>
      </c>
      <c r="M24" s="128"/>
      <c r="N24" s="128">
        <v>35</v>
      </c>
      <c r="O24" s="128">
        <v>20</v>
      </c>
      <c r="P24" s="210">
        <v>4</v>
      </c>
      <c r="Q24" s="151">
        <f t="shared" si="14"/>
        <v>28.583333333333332</v>
      </c>
      <c r="R24" s="132" t="str">
        <f t="shared" si="15"/>
        <v>n/a</v>
      </c>
      <c r="S24" s="143">
        <f t="shared" si="16"/>
        <v>31.966666666666665</v>
      </c>
      <c r="T24" s="143">
        <f t="shared" si="17"/>
        <v>350</v>
      </c>
      <c r="U24" s="143">
        <f t="shared" si="18"/>
        <v>350</v>
      </c>
      <c r="V24" s="152">
        <f t="shared" si="19"/>
        <v>60.55</v>
      </c>
      <c r="W24" s="153">
        <f t="shared" si="20"/>
        <v>1.4291666666666667</v>
      </c>
      <c r="X24" s="154" t="str">
        <f t="shared" si="21"/>
        <v>n/a</v>
      </c>
      <c r="Y24" s="154" t="str">
        <f t="shared" si="22"/>
        <v>n/a</v>
      </c>
      <c r="Z24" s="154">
        <f t="shared" si="23"/>
        <v>5</v>
      </c>
      <c r="AA24" s="155">
        <f t="shared" si="24"/>
        <v>6.429166666666667</v>
      </c>
      <c r="AB24" s="108">
        <v>0.15</v>
      </c>
      <c r="AC24" s="108" t="s">
        <v>438</v>
      </c>
      <c r="AD24" s="604">
        <v>1</v>
      </c>
      <c r="AE24" s="136" t="s">
        <v>647</v>
      </c>
      <c r="AF24" s="576">
        <v>428</v>
      </c>
      <c r="AG24" s="147" t="s">
        <v>428</v>
      </c>
      <c r="AH24" s="300"/>
      <c r="AI24" s="300"/>
      <c r="AJ24" s="301"/>
      <c r="AK24" s="301"/>
      <c r="AL24" s="147"/>
      <c r="AM24" s="313"/>
      <c r="AN24" s="211"/>
      <c r="AO24" s="103">
        <v>35</v>
      </c>
      <c r="AP24" s="110" t="s">
        <v>515</v>
      </c>
      <c r="AQ24" s="313"/>
      <c r="AR24" s="110"/>
      <c r="AS24" s="212" t="s">
        <v>496</v>
      </c>
      <c r="AT24" s="120">
        <f t="shared" si="25"/>
        <v>0.6</v>
      </c>
      <c r="AU24" s="131" t="str">
        <f t="shared" si="132"/>
        <v>RIVM  general fact sheet</v>
      </c>
      <c r="AV24" s="131">
        <f t="shared" si="26"/>
        <v>0.9506906699129728</v>
      </c>
      <c r="AW24" s="156">
        <f t="shared" si="133"/>
        <v>20</v>
      </c>
      <c r="AX24" s="156" t="str">
        <f t="shared" si="134"/>
        <v>TRA default</v>
      </c>
      <c r="AY24" s="213">
        <v>0.17</v>
      </c>
      <c r="AZ24" s="214" t="s">
        <v>429</v>
      </c>
      <c r="BA24" s="125">
        <f t="shared" si="0"/>
        <v>10.699999999999998</v>
      </c>
      <c r="BB24" s="125">
        <f t="shared" si="1"/>
        <v>10.699999999999998</v>
      </c>
      <c r="BC24" s="120">
        <f t="shared" si="27"/>
        <v>1.5</v>
      </c>
      <c r="BD24" s="120" t="str">
        <f t="shared" si="2"/>
        <v>n/a</v>
      </c>
      <c r="BE24" s="120" t="str">
        <f t="shared" si="3"/>
        <v>n/a</v>
      </c>
      <c r="BF24" s="120">
        <f t="shared" si="4"/>
        <v>0.9686943744744495</v>
      </c>
      <c r="BG24" s="120">
        <f t="shared" si="28"/>
        <v>249.5563008521554</v>
      </c>
      <c r="BH24" s="120">
        <f t="shared" si="29"/>
      </c>
      <c r="BI24" s="120">
        <f t="shared" si="5"/>
        <v>1.7676904643694342</v>
      </c>
      <c r="BJ24" s="158">
        <f t="shared" si="30"/>
        <v>1.7676904643694342</v>
      </c>
      <c r="BK24" s="159">
        <f t="shared" si="31"/>
        <v>11.668694374474446</v>
      </c>
      <c r="BL24" s="160" t="str">
        <f t="shared" si="32"/>
        <v>n/a</v>
      </c>
      <c r="BM24" s="161" t="str">
        <f t="shared" si="33"/>
        <v>n/a</v>
      </c>
      <c r="BN24" s="161">
        <f t="shared" si="34"/>
        <v>0.5349999999999999</v>
      </c>
      <c r="BO24" s="162" t="str">
        <f t="shared" si="35"/>
        <v>n/a</v>
      </c>
      <c r="BP24" s="161">
        <f t="shared" si="36"/>
        <v>0.025252720919563345</v>
      </c>
      <c r="BQ24" s="162">
        <f t="shared" si="37"/>
        <v>0.5602527209195632</v>
      </c>
      <c r="BR24" s="161">
        <f t="shared" si="38"/>
        <v>0.5349999999999999</v>
      </c>
      <c r="BS24" s="161" t="str">
        <f t="shared" si="39"/>
        <v>n/a</v>
      </c>
      <c r="BT24" s="161">
        <f t="shared" si="40"/>
        <v>0.025252720919563345</v>
      </c>
      <c r="BU24" s="161">
        <f t="shared" si="41"/>
        <v>0.5602527209195632</v>
      </c>
      <c r="BV24" s="163" t="str">
        <f t="shared" si="42"/>
        <v>Unless otherwise stated, covers concentrations up to 15% [ConsOC1]; covers use up to 364 days/year[ConsOC3]; covers use up to 1 time/on day of use[ConsOC4]; covers skin contact area up to 428,00 cm2 [ConsOC5]; for each use event, covers use amounts up to 35g [ConsOC2]; covers use under typical household ventilation [ConsOC8]; covers use in room size of 20m3[ConsOC11]; for each use event, covers exposure up to 0,17hr/event[ConsOC14]; </v>
      </c>
      <c r="BW24" s="126" t="str">
        <f t="shared" si="43"/>
        <v>No specific RMMs identified beyond those OCs stated</v>
      </c>
      <c r="BX24" s="125" t="str">
        <f t="shared" si="44"/>
        <v>Based upon daily use</v>
      </c>
      <c r="BY24" s="120">
        <f t="shared" si="45"/>
        <v>0.5349999999999999</v>
      </c>
      <c r="BZ24" s="120" t="str">
        <f t="shared" si="46"/>
        <v>n/a</v>
      </c>
      <c r="CA24" s="120">
        <f t="shared" si="47"/>
        <v>0.025252720919563345</v>
      </c>
      <c r="CB24" s="164">
        <f t="shared" si="48"/>
        <v>0.5602527209195632</v>
      </c>
      <c r="CC24" s="120">
        <f t="shared" si="49"/>
        <v>10.699999999999998</v>
      </c>
      <c r="CD24" s="120" t="str">
        <f t="shared" si="50"/>
        <v>n/a</v>
      </c>
      <c r="CE24" s="159">
        <f t="shared" si="51"/>
        <v>1.7676904643694342</v>
      </c>
      <c r="CF24" s="138"/>
      <c r="CG24" s="195" t="str">
        <f t="shared" si="135"/>
        <v>PC8_n: Biocidal products (excipient use only for solvent products)</v>
      </c>
      <c r="CH24" s="196" t="str">
        <f t="shared" si="136"/>
        <v>Cleaners, trigger sprays (all purpose cleaners, sanitary products,  glass cleaners) </v>
      </c>
      <c r="CI24" s="120">
        <f t="shared" si="52"/>
        <v>10.699999999999998</v>
      </c>
      <c r="CJ24" s="120" t="str">
        <f t="shared" si="53"/>
        <v>n/a</v>
      </c>
      <c r="CK24" s="120">
        <f t="shared" si="54"/>
        <v>1.7676904643694342</v>
      </c>
      <c r="CL24" s="165"/>
      <c r="CM24" s="165">
        <f t="shared" si="55"/>
        <v>106.99999999999997</v>
      </c>
      <c r="CN24" s="165" t="str">
        <f t="shared" si="56"/>
        <v>n/a</v>
      </c>
      <c r="CO24" s="165">
        <f t="shared" si="57"/>
        <v>3.5353809287388684</v>
      </c>
      <c r="CP24" s="598">
        <f>IF(SUM(CM24:CO24)&lt;$BZ$4,"",adjustparameter($AB24,0.01,SUM(CM24,CN24,CO24)/$AB24,$BZ$4))</f>
        <v>0.01</v>
      </c>
      <c r="CQ24" s="166">
        <f t="shared" si="58"/>
        <v>0.9333333333333332</v>
      </c>
      <c r="CR24" s="599">
        <f>IF($CK24="n/a","",IF(SUM(CM24:CO24)&lt;$BZ$4,"",adjustparameter($AO24,0.5*$AO24,SUM(SUM(CO24)*CP24/$AB24/$AO24),($BZ$4-SUM(CM24:CN24)*CP24/$AB24))))</f>
        <v>17.5</v>
      </c>
      <c r="CS24" s="166">
        <f t="shared" si="59"/>
        <v>0.5</v>
      </c>
      <c r="CT24" s="165"/>
      <c r="CU24" s="166">
        <f t="shared" si="60"/>
      </c>
      <c r="CV24" s="124"/>
      <c r="CW24" s="166">
        <f t="shared" si="61"/>
      </c>
      <c r="CX24" s="595" t="str">
        <f t="shared" si="62"/>
        <v>indoor, ventilation</v>
      </c>
      <c r="CY24" s="165">
        <f>IF(CX24="","",VLOOKUP(CX24,Picklist!$C$2:$E$5,3))</f>
        <v>2.5</v>
      </c>
      <c r="CZ24" s="594">
        <f t="shared" si="63"/>
        <v>0.14308685791476594</v>
      </c>
      <c r="DA24" s="165"/>
      <c r="DB24" s="166">
        <f t="shared" si="64"/>
      </c>
      <c r="DC24" s="165">
        <f t="shared" si="65"/>
        <v>0.7133333333333342</v>
      </c>
      <c r="DD24" s="165" t="str">
        <f t="shared" si="66"/>
        <v>n/a</v>
      </c>
      <c r="DE24" s="165">
        <f t="shared" si="67"/>
        <v>0.05049190633523069</v>
      </c>
      <c r="DF24" s="165">
        <f t="shared" si="68"/>
        <v>0.03566666666666671</v>
      </c>
      <c r="DG24" s="165" t="str">
        <f t="shared" si="69"/>
        <v>n/a</v>
      </c>
      <c r="DH24" s="165">
        <f t="shared" si="70"/>
        <v>0.0007213129476461526</v>
      </c>
      <c r="DI24" s="167">
        <f t="shared" si="71"/>
        <v>0.03638797961431286</v>
      </c>
      <c r="DJ24" s="165">
        <f t="shared" si="72"/>
        <v>7.133333333333331</v>
      </c>
      <c r="DK24" s="165" t="str">
        <f t="shared" si="7"/>
        <v>n/a</v>
      </c>
      <c r="DL24" s="165">
        <f t="shared" si="73"/>
        <v>0.10098381267046122</v>
      </c>
      <c r="DM24" s="168">
        <f t="shared" si="74"/>
        <v>7.234317146003792</v>
      </c>
      <c r="DN24" s="185"/>
      <c r="DO24" s="165">
        <f t="shared" si="75"/>
        <v>10.699999999999998</v>
      </c>
      <c r="DP24" s="165" t="str">
        <f t="shared" si="76"/>
        <v>n/a</v>
      </c>
      <c r="DQ24" s="165">
        <f t="shared" si="77"/>
        <v>0.3535380928738868</v>
      </c>
      <c r="DR24" s="598">
        <f>IF(SUM(DO24:DQ24)&lt;$BZ$4,"",adjustparameter($AB24,0.01,SUM(DO24,DP24,DQ24)/$AB24,$BZ$4))</f>
        <v>0.012213284006053525</v>
      </c>
      <c r="DS24" s="166">
        <f t="shared" si="78"/>
        <v>0.9185781066263098</v>
      </c>
      <c r="DT24" s="597">
        <f>IF($CK24="n/a","",IF(SUM(DO24:DQ24)&lt;$BZ$4,"",adjustparameter($AO24,0.5*$AO24,SUM(SUM(DQ24)*DR24/$AB24/$AO24),($BZ$4-SUM(DO24:DP24)*DR24/$AB24))))</f>
        <v>34.99999999999991</v>
      </c>
      <c r="DU24" s="166">
        <f t="shared" si="8"/>
        <v>2.6391587328232294E-15</v>
      </c>
      <c r="DV24" s="165"/>
      <c r="DW24" s="166">
        <f t="shared" si="79"/>
      </c>
      <c r="DX24" s="165"/>
      <c r="DY24" s="166">
        <f t="shared" si="80"/>
      </c>
      <c r="DZ24" s="595">
        <f t="shared" si="81"/>
      </c>
      <c r="EA24" s="165">
        <f>IF(DZ24="","",VLOOKUP(DZ24,Picklist!$C$2:$E$5,3))</f>
      </c>
      <c r="EB24" s="594">
        <f t="shared" si="82"/>
      </c>
      <c r="EC24" s="165"/>
      <c r="ED24" s="166">
        <f t="shared" si="83"/>
      </c>
      <c r="EE24" s="593">
        <f t="shared" si="84"/>
        <v>0.871214259098485</v>
      </c>
      <c r="EF24" s="594" t="str">
        <f t="shared" si="85"/>
        <v>n/a</v>
      </c>
      <c r="EG24" s="594">
        <f t="shared" si="86"/>
        <v>0.1439287045075766</v>
      </c>
      <c r="EH24" s="165">
        <f t="shared" si="87"/>
        <v>0.04356071295492425</v>
      </c>
      <c r="EI24" s="165" t="str">
        <f t="shared" si="88"/>
        <v>n/a</v>
      </c>
      <c r="EJ24" s="165">
        <f t="shared" si="89"/>
        <v>0.0020561243501082374</v>
      </c>
      <c r="EK24" s="167">
        <f t="shared" si="90"/>
        <v>0.04561683730503249</v>
      </c>
      <c r="EL24" s="165">
        <f t="shared" si="91"/>
        <v>0.8712142590984846</v>
      </c>
      <c r="EM24" s="165" t="str">
        <f t="shared" si="9"/>
        <v>n/a</v>
      </c>
      <c r="EN24" s="165">
        <f t="shared" si="92"/>
        <v>0.02878574090151531</v>
      </c>
      <c r="EO24" s="168">
        <f t="shared" si="93"/>
        <v>0.8999999999999999</v>
      </c>
      <c r="EP24" s="185"/>
      <c r="EQ24" s="165">
        <f t="shared" si="94"/>
        <v>2.1399999999999997</v>
      </c>
      <c r="ER24" s="165" t="str">
        <f t="shared" si="95"/>
        <v>n/a</v>
      </c>
      <c r="ES24" s="165">
        <f t="shared" si="96"/>
        <v>0.07070761857477736</v>
      </c>
      <c r="ET24" s="596">
        <f>IF(SUM(EQ24:ES24)&lt;$BZ$4,"",adjustparameter($AB24,0.01,SUM(EQ24,ER24,ES24)/$AB24,$BZ$4))</f>
        <v>0.061066420030267625</v>
      </c>
      <c r="EU24" s="166">
        <f t="shared" si="97"/>
        <v>0.5928905331315492</v>
      </c>
      <c r="EV24" s="597">
        <f>IF($CK24="n/a","",IF(SUM(EQ24:ES24)&lt;$BZ$4,"",adjustparameter($AO24,0.5*$AO24,SUM(SUM(ES24)*ET24/$AB24/$AO24),($BZ$4-SUM(EQ24:ER24)*ET24/$AB24))))</f>
        <v>34.99999999999991</v>
      </c>
      <c r="EW24" s="166">
        <f t="shared" si="98"/>
        <v>2.6391587328232294E-15</v>
      </c>
      <c r="EX24" s="165"/>
      <c r="EY24" s="166">
        <f t="shared" si="99"/>
      </c>
      <c r="EZ24" s="215"/>
      <c r="FA24" s="166">
        <f t="shared" si="100"/>
      </c>
      <c r="FB24" s="595">
        <f t="shared" si="101"/>
      </c>
      <c r="FC24" s="165">
        <f>IF(FB24="","",VLOOKUP(FB24,Picklist!$C$2:$E$5,3))</f>
      </c>
      <c r="FD24" s="594">
        <f t="shared" si="102"/>
      </c>
      <c r="FE24" s="165"/>
      <c r="FF24" s="166">
        <f t="shared" si="10"/>
      </c>
      <c r="FG24" s="593">
        <f t="shared" si="103"/>
        <v>4.356071295492423</v>
      </c>
      <c r="FH24" s="594" t="str">
        <f t="shared" si="104"/>
        <v>n/a</v>
      </c>
      <c r="FI24" s="594">
        <f t="shared" si="105"/>
        <v>0.7196435225378828</v>
      </c>
      <c r="FJ24" s="165">
        <f t="shared" si="106"/>
        <v>0.21780356477462112</v>
      </c>
      <c r="FK24" s="165" t="str">
        <f t="shared" si="107"/>
        <v>n/a</v>
      </c>
      <c r="FL24" s="165">
        <f t="shared" si="108"/>
        <v>0.010280621750541183</v>
      </c>
      <c r="FM24" s="167">
        <f t="shared" si="109"/>
        <v>0.2280841865251623</v>
      </c>
      <c r="FN24" s="165">
        <f t="shared" si="110"/>
        <v>0.8712142590984847</v>
      </c>
      <c r="FO24" s="165" t="str">
        <f t="shared" si="11"/>
        <v>n/a</v>
      </c>
      <c r="FP24" s="165">
        <f t="shared" si="111"/>
        <v>0.028785740901515307</v>
      </c>
      <c r="FQ24" s="168">
        <f t="shared" si="112"/>
        <v>0.9</v>
      </c>
      <c r="FR24" s="185"/>
      <c r="FS24" s="165">
        <f t="shared" si="113"/>
        <v>0.5349999999999999</v>
      </c>
      <c r="FT24" s="165" t="str">
        <f t="shared" si="114"/>
        <v>n/a</v>
      </c>
      <c r="FU24" s="165">
        <f t="shared" si="115"/>
        <v>0.01767690464369434</v>
      </c>
      <c r="FV24" s="596">
        <f>IF(SUM(FS24:FU24)&lt;$BZ$4,"",adjustparameter($AB24,0.01,SUM(FS24,FT24,FU24)/$AB24,$BZ$4))</f>
      </c>
      <c r="FW24" s="166">
        <f t="shared" si="116"/>
      </c>
      <c r="FX24" s="597">
        <f>IF($CK24="n/a","",IF(SUM(FS24:FU24)&lt;$BZ$4,"",adjustparameter($AO24,0.5*$AO24,SUM(SUM(FU24)*FV24/$AB24/$AO24),($BZ$4-SUM(FS24:FT24)*FV24/$AB24))))</f>
      </c>
      <c r="FY24" s="166">
        <f t="shared" si="117"/>
      </c>
      <c r="FZ24" s="165"/>
      <c r="GA24" s="166">
        <f t="shared" si="118"/>
      </c>
      <c r="GB24" s="165"/>
      <c r="GC24" s="166">
        <f t="shared" si="119"/>
      </c>
      <c r="GD24" s="595">
        <f t="shared" si="120"/>
      </c>
      <c r="GE24" s="165">
        <f>IF(GD24="","",VLOOKUP(GD24,Picklist!$C$2:$E$5,3))</f>
      </c>
      <c r="GF24" s="594">
        <f t="shared" si="121"/>
      </c>
      <c r="GG24" s="165"/>
      <c r="GH24" s="166">
        <f t="shared" si="12"/>
      </c>
      <c r="GI24" s="593">
        <f t="shared" si="122"/>
        <v>10.699999999999998</v>
      </c>
      <c r="GJ24" s="594" t="str">
        <f t="shared" si="123"/>
        <v>n/a</v>
      </c>
      <c r="GK24" s="594">
        <f t="shared" si="124"/>
        <v>1.7676904643694342</v>
      </c>
      <c r="GL24" s="165">
        <f t="shared" si="125"/>
        <v>0.5349999999999999</v>
      </c>
      <c r="GM24" s="165" t="str">
        <f t="shared" si="126"/>
        <v>n/a</v>
      </c>
      <c r="GN24" s="165">
        <f t="shared" si="127"/>
        <v>0.025252720919563345</v>
      </c>
      <c r="GO24" s="167">
        <f t="shared" si="128"/>
        <v>0.5602527209195632</v>
      </c>
      <c r="GP24" s="165">
        <f t="shared" si="129"/>
        <v>0.5349999999999999</v>
      </c>
      <c r="GQ24" s="165" t="str">
        <f t="shared" si="13"/>
        <v>n/a</v>
      </c>
      <c r="GR24" s="165">
        <f t="shared" si="130"/>
        <v>0.01767690464369434</v>
      </c>
      <c r="GS24" s="170">
        <f t="shared" si="131"/>
        <v>0.5526769046436942</v>
      </c>
    </row>
    <row r="25" spans="1:201" s="139" customFormat="1" ht="118.5">
      <c r="A25" s="144"/>
      <c r="B25" s="145"/>
      <c r="C25" s="172" t="s">
        <v>387</v>
      </c>
      <c r="D25" s="204" t="s">
        <v>16</v>
      </c>
      <c r="E25" s="216" t="s">
        <v>483</v>
      </c>
      <c r="F25" s="179">
        <v>0.5</v>
      </c>
      <c r="G25" s="121" t="s">
        <v>388</v>
      </c>
      <c r="H25" s="121"/>
      <c r="I25" s="121" t="s">
        <v>388</v>
      </c>
      <c r="J25" s="121" t="s">
        <v>139</v>
      </c>
      <c r="K25" s="121">
        <v>1</v>
      </c>
      <c r="L25" s="121">
        <v>428.75</v>
      </c>
      <c r="M25" s="121"/>
      <c r="N25" s="121">
        <v>3750</v>
      </c>
      <c r="O25" s="121">
        <v>20</v>
      </c>
      <c r="P25" s="176">
        <v>2.2</v>
      </c>
      <c r="Q25" s="151">
        <f t="shared" si="14"/>
        <v>35.72916666666667</v>
      </c>
      <c r="R25" s="132" t="str">
        <f t="shared" si="15"/>
        <v>n/a</v>
      </c>
      <c r="S25" s="143">
        <f t="shared" si="16"/>
        <v>4709.375</v>
      </c>
      <c r="T25" s="143">
        <f t="shared" si="17"/>
        <v>93750</v>
      </c>
      <c r="U25" s="143">
        <f t="shared" si="18"/>
        <v>93750</v>
      </c>
      <c r="V25" s="152">
        <f t="shared" si="19"/>
        <v>4745.104166666667</v>
      </c>
      <c r="W25" s="153">
        <f t="shared" si="20"/>
        <v>1.7864583333333335</v>
      </c>
      <c r="X25" s="154" t="str">
        <f t="shared" si="21"/>
        <v>n/a</v>
      </c>
      <c r="Y25" s="154" t="str">
        <f t="shared" si="22"/>
        <v>n/a</v>
      </c>
      <c r="Z25" s="154">
        <f t="shared" si="23"/>
        <v>1339.2857142857142</v>
      </c>
      <c r="AA25" s="155">
        <f t="shared" si="24"/>
        <v>1341.0721726190475</v>
      </c>
      <c r="AB25" s="111">
        <v>0.015</v>
      </c>
      <c r="AC25" s="93" t="s">
        <v>436</v>
      </c>
      <c r="AD25" s="156">
        <v>0.04</v>
      </c>
      <c r="AE25" s="125" t="s">
        <v>653</v>
      </c>
      <c r="AF25" s="575">
        <v>428.75</v>
      </c>
      <c r="AG25" s="204" t="s">
        <v>515</v>
      </c>
      <c r="AH25" s="302"/>
      <c r="AI25" s="302"/>
      <c r="AJ25" s="303"/>
      <c r="AK25" s="303"/>
      <c r="AL25" s="204"/>
      <c r="AM25" s="87"/>
      <c r="AN25" s="120"/>
      <c r="AO25" s="87">
        <v>2760</v>
      </c>
      <c r="AP25" s="99" t="s">
        <v>435</v>
      </c>
      <c r="AQ25" s="314"/>
      <c r="AR25" s="99"/>
      <c r="AS25" s="118" t="s">
        <v>496</v>
      </c>
      <c r="AT25" s="120">
        <f t="shared" si="25"/>
        <v>0.6</v>
      </c>
      <c r="AU25" s="131" t="str">
        <f t="shared" si="132"/>
        <v>RIVM  general fact sheet</v>
      </c>
      <c r="AV25" s="131">
        <f t="shared" si="26"/>
        <v>0.5552005288137497</v>
      </c>
      <c r="AW25" s="156">
        <f t="shared" si="133"/>
        <v>20</v>
      </c>
      <c r="AX25" s="156" t="str">
        <f t="shared" si="134"/>
        <v>TRA default</v>
      </c>
      <c r="AY25" s="121">
        <v>2.2</v>
      </c>
      <c r="AZ25" s="159" t="s">
        <v>515</v>
      </c>
      <c r="BA25" s="125">
        <f t="shared" si="0"/>
        <v>1.0718750000000001</v>
      </c>
      <c r="BB25" s="125">
        <f t="shared" si="1"/>
        <v>0.042875</v>
      </c>
      <c r="BC25" s="120">
        <f t="shared" si="27"/>
        <v>0.15</v>
      </c>
      <c r="BD25" s="120" t="str">
        <f t="shared" si="2"/>
        <v>n/a</v>
      </c>
      <c r="BE25" s="120" t="str">
        <f t="shared" si="3"/>
        <v>n/a</v>
      </c>
      <c r="BF25" s="120">
        <f t="shared" si="4"/>
        <v>57.73141658764014</v>
      </c>
      <c r="BG25" s="120">
        <f t="shared" si="28"/>
        <v>1149.265094644462</v>
      </c>
      <c r="BH25" s="120">
        <f t="shared" si="29"/>
      </c>
      <c r="BI25" s="120">
        <f t="shared" si="5"/>
        <v>105.34930034240902</v>
      </c>
      <c r="BJ25" s="158">
        <f t="shared" si="30"/>
        <v>4.2139720136963605</v>
      </c>
      <c r="BK25" s="159">
        <f t="shared" si="31"/>
        <v>58.80329158764014</v>
      </c>
      <c r="BL25" s="160" t="str">
        <f t="shared" si="32"/>
        <v>n/a</v>
      </c>
      <c r="BM25" s="161" t="str">
        <f t="shared" si="33"/>
        <v>n/a</v>
      </c>
      <c r="BN25" s="161">
        <f t="shared" si="34"/>
        <v>0.05359375000000001</v>
      </c>
      <c r="BO25" s="162" t="str">
        <f t="shared" si="35"/>
        <v>n/a</v>
      </c>
      <c r="BP25" s="161">
        <f t="shared" si="36"/>
        <v>1.5049900048915574</v>
      </c>
      <c r="BQ25" s="162">
        <f t="shared" si="37"/>
        <v>1.5585837548915575</v>
      </c>
      <c r="BR25" s="161">
        <f t="shared" si="38"/>
        <v>0.0021437500000000003</v>
      </c>
      <c r="BS25" s="161" t="str">
        <f t="shared" si="39"/>
        <v>n/a</v>
      </c>
      <c r="BT25" s="161">
        <f t="shared" si="40"/>
        <v>0.06019960019566229</v>
      </c>
      <c r="BU25" s="161">
        <f t="shared" si="41"/>
        <v>0.06234335019566229</v>
      </c>
      <c r="BV25" s="163" t="str">
        <f t="shared" si="42"/>
        <v>Unless otherwise stated, covers concentrations up to 1,5% [ConsOC1]; covers use up to 11 days/year[ConsOC3]; covers use up to 1 time/on day of use[ConsOC4]; covers skin contact area up to 428,75 cm2 [ConsOC5]; for each use event, covers use amounts up to 2760g [ConsOC2]; covers use under typical household ventilation [ConsOC8]; covers use in room size of 20m3[ConsOC11]; for each use event, covers exposure up to 2,20hr/event[ConsOC14]; </v>
      </c>
      <c r="BW25" s="126" t="str">
        <f t="shared" si="43"/>
        <v>No specific RMMs identified beyond those OCs stated</v>
      </c>
      <c r="BX25" s="125" t="str">
        <f t="shared" si="44"/>
        <v>Based upon infrequent use (&lt;365 days/yr)</v>
      </c>
      <c r="BY25" s="120">
        <f t="shared" si="45"/>
        <v>0.0021437500000000003</v>
      </c>
      <c r="BZ25" s="120" t="str">
        <f t="shared" si="46"/>
        <v>n/a</v>
      </c>
      <c r="CA25" s="120">
        <f t="shared" si="47"/>
        <v>0.06019960019566229</v>
      </c>
      <c r="CB25" s="164">
        <f t="shared" si="48"/>
        <v>0.06234335019566229</v>
      </c>
      <c r="CC25" s="120">
        <f t="shared" si="49"/>
        <v>0.15</v>
      </c>
      <c r="CD25" s="120" t="str">
        <f t="shared" si="50"/>
        <v>n/a</v>
      </c>
      <c r="CE25" s="159">
        <f t="shared" si="51"/>
        <v>4.2139720136963605</v>
      </c>
      <c r="CF25" s="138"/>
      <c r="CG25" s="145" t="str">
        <f t="shared" si="135"/>
        <v>PC9a:Coatings, paints, thinners,paint removers</v>
      </c>
      <c r="CH25" s="118" t="str">
        <f t="shared" si="136"/>
        <v>Waterborne latex wall paint</v>
      </c>
      <c r="CI25" s="120">
        <f t="shared" si="52"/>
        <v>0.042875</v>
      </c>
      <c r="CJ25" s="120" t="str">
        <f t="shared" si="53"/>
        <v>n/a</v>
      </c>
      <c r="CK25" s="120">
        <f t="shared" si="54"/>
        <v>4.2139720136963605</v>
      </c>
      <c r="CL25" s="165"/>
      <c r="CM25" s="165">
        <f t="shared" si="55"/>
        <v>0.42875</v>
      </c>
      <c r="CN25" s="165" t="str">
        <f t="shared" si="56"/>
        <v>n/a</v>
      </c>
      <c r="CO25" s="165">
        <f t="shared" si="57"/>
        <v>8.427944027392721</v>
      </c>
      <c r="CP25" s="598">
        <f>IF(SUM(CM25:CO25)&lt;$BZ$4,"",adjustparameter($AB25,0.01,SUM(CM25,CN25,CO25)/$AB25,$BZ$4))</f>
        <v>0.01</v>
      </c>
      <c r="CQ25" s="166">
        <f t="shared" si="58"/>
        <v>0.3333333333333333</v>
      </c>
      <c r="CR25" s="599">
        <f>IF($CK25="n/a","",IF(SUM(CM25:CO25)&lt;$BZ$4,"",adjustparameter($AO25,0.5*$AO25,SUM(SUM(CO25)*CP25/$AB25/$AO25),($BZ$4-SUM(CM25:CN25)*CP25/$AB25))))</f>
        <v>1380</v>
      </c>
      <c r="CS25" s="166">
        <f t="shared" si="59"/>
        <v>0.5</v>
      </c>
      <c r="CT25" s="165"/>
      <c r="CU25" s="166">
        <f t="shared" si="60"/>
      </c>
      <c r="CV25" s="124"/>
      <c r="CW25" s="166">
        <f t="shared" si="61"/>
      </c>
      <c r="CX25" s="595" t="str">
        <f t="shared" si="62"/>
        <v>indoor, ventilation</v>
      </c>
      <c r="CY25" s="165">
        <f>IF(CX25="","",VLOOKUP(CX25,Picklist!$C$2:$E$5,3))</f>
        <v>2.5</v>
      </c>
      <c r="CZ25" s="594">
        <f t="shared" si="63"/>
        <v>0.6738563400639732</v>
      </c>
      <c r="DA25" s="165"/>
      <c r="DB25" s="166">
        <f t="shared" si="64"/>
      </c>
      <c r="DC25" s="165">
        <f t="shared" si="65"/>
        <v>0.02858333333333334</v>
      </c>
      <c r="DD25" s="165" t="str">
        <f t="shared" si="66"/>
        <v>n/a</v>
      </c>
      <c r="DE25" s="165">
        <f t="shared" si="67"/>
        <v>0.45812008513830665</v>
      </c>
      <c r="DF25" s="165">
        <f t="shared" si="68"/>
        <v>0.001429166666666667</v>
      </c>
      <c r="DG25" s="165" t="str">
        <f t="shared" si="69"/>
        <v>n/a</v>
      </c>
      <c r="DH25" s="165">
        <f t="shared" si="70"/>
        <v>0.006544572644832952</v>
      </c>
      <c r="DI25" s="167">
        <f t="shared" si="71"/>
        <v>0.007973739311499618</v>
      </c>
      <c r="DJ25" s="165">
        <f t="shared" si="72"/>
        <v>0.2858333333333334</v>
      </c>
      <c r="DK25" s="165" t="str">
        <f t="shared" si="7"/>
        <v>n/a</v>
      </c>
      <c r="DL25" s="165">
        <f t="shared" si="73"/>
        <v>0.9162401702766132</v>
      </c>
      <c r="DM25" s="168">
        <f t="shared" si="74"/>
        <v>1.2020735036099466</v>
      </c>
      <c r="DN25" s="185"/>
      <c r="DO25" s="165">
        <f t="shared" si="75"/>
        <v>0.042875</v>
      </c>
      <c r="DP25" s="165" t="str">
        <f t="shared" si="76"/>
        <v>n/a</v>
      </c>
      <c r="DQ25" s="165">
        <f t="shared" si="77"/>
        <v>0.8427944027392721</v>
      </c>
      <c r="DR25" s="598">
        <f>IF(SUM(DO25:DQ25)&lt;$BZ$4,"",adjustparameter($AB25,0.01,SUM(DO25,DP25,DQ25)/$AB25,$BZ$4))</f>
      </c>
      <c r="DS25" s="166">
        <f t="shared" si="78"/>
      </c>
      <c r="DT25" s="597">
        <f>IF($CK25="n/a","",IF(SUM(DO25:DQ25)&lt;$BZ$4,"",adjustparameter($AO25,0.5*$AO25,SUM(SUM(DQ25)*DR25/$AB25/$AO25),($BZ$4-SUM(DO25:DP25)*DR25/$AB25))))</f>
      </c>
      <c r="DU25" s="166">
        <f t="shared" si="8"/>
      </c>
      <c r="DV25" s="165"/>
      <c r="DW25" s="166">
        <f t="shared" si="79"/>
      </c>
      <c r="DX25" s="165"/>
      <c r="DY25" s="166">
        <f t="shared" si="80"/>
      </c>
      <c r="DZ25" s="595">
        <f t="shared" si="81"/>
      </c>
      <c r="EA25" s="165">
        <f>IF(DZ25="","",VLOOKUP(DZ25,Picklist!$C$2:$E$5,3))</f>
      </c>
      <c r="EB25" s="594">
        <f t="shared" si="82"/>
      </c>
      <c r="EC25" s="165"/>
      <c r="ED25" s="166">
        <f t="shared" si="83"/>
      </c>
      <c r="EE25" s="593">
        <f t="shared" si="84"/>
        <v>0.042875</v>
      </c>
      <c r="EF25" s="594" t="str">
        <f t="shared" si="85"/>
        <v>n/a</v>
      </c>
      <c r="EG25" s="594">
        <f t="shared" si="86"/>
        <v>4.2139720136963605</v>
      </c>
      <c r="EH25" s="165">
        <f t="shared" si="87"/>
        <v>0.0021437500000000003</v>
      </c>
      <c r="EI25" s="165" t="str">
        <f t="shared" si="88"/>
        <v>n/a</v>
      </c>
      <c r="EJ25" s="165">
        <f t="shared" si="89"/>
        <v>0.06019960019566229</v>
      </c>
      <c r="EK25" s="167">
        <f t="shared" si="90"/>
        <v>0.06234335019566229</v>
      </c>
      <c r="EL25" s="165">
        <f t="shared" si="91"/>
        <v>0.042875</v>
      </c>
      <c r="EM25" s="165" t="str">
        <f t="shared" si="9"/>
        <v>n/a</v>
      </c>
      <c r="EN25" s="165">
        <f t="shared" si="92"/>
        <v>0.8427944027392721</v>
      </c>
      <c r="EO25" s="168">
        <f t="shared" si="93"/>
        <v>0.8856694027392721</v>
      </c>
      <c r="EP25" s="185"/>
      <c r="EQ25" s="165">
        <f t="shared" si="94"/>
        <v>0.008575000000000001</v>
      </c>
      <c r="ER25" s="165" t="str">
        <f t="shared" si="95"/>
        <v>n/a</v>
      </c>
      <c r="ES25" s="165">
        <f t="shared" si="96"/>
        <v>0.16855888054785442</v>
      </c>
      <c r="ET25" s="596">
        <f>IF(SUM(EQ25:ES25)&lt;$BZ$4,"",adjustparameter($AB25,0.01,SUM(EQ25,ER25,ES25)/$AB25,$BZ$4))</f>
      </c>
      <c r="EU25" s="166">
        <f t="shared" si="97"/>
      </c>
      <c r="EV25" s="597">
        <f>IF($CK25="n/a","",IF(SUM(EQ25:ES25)&lt;$BZ$4,"",adjustparameter($AO25,0.5*$AO25,SUM(SUM(ES25)*ET25/$AB25/$AO25),($BZ$4-SUM(EQ25:ER25)*ET25/$AB25))))</f>
      </c>
      <c r="EW25" s="166">
        <f t="shared" si="98"/>
      </c>
      <c r="EX25" s="165"/>
      <c r="EY25" s="166">
        <f t="shared" si="99"/>
      </c>
      <c r="EZ25" s="217"/>
      <c r="FA25" s="166">
        <f t="shared" si="100"/>
      </c>
      <c r="FB25" s="595">
        <f t="shared" si="101"/>
      </c>
      <c r="FC25" s="165">
        <f>IF(FB25="","",VLOOKUP(FB25,Picklist!$C$2:$E$5,3))</f>
      </c>
      <c r="FD25" s="594">
        <f t="shared" si="102"/>
      </c>
      <c r="FE25" s="165"/>
      <c r="FF25" s="166">
        <f t="shared" si="10"/>
      </c>
      <c r="FG25" s="593">
        <f t="shared" si="103"/>
        <v>0.042875</v>
      </c>
      <c r="FH25" s="594" t="str">
        <f t="shared" si="104"/>
        <v>n/a</v>
      </c>
      <c r="FI25" s="594">
        <f t="shared" si="105"/>
        <v>4.2139720136963605</v>
      </c>
      <c r="FJ25" s="165">
        <f t="shared" si="106"/>
        <v>0.0021437500000000003</v>
      </c>
      <c r="FK25" s="165" t="str">
        <f t="shared" si="107"/>
        <v>n/a</v>
      </c>
      <c r="FL25" s="165">
        <f t="shared" si="108"/>
        <v>0.06019960019566229</v>
      </c>
      <c r="FM25" s="167">
        <f t="shared" si="109"/>
        <v>0.06234335019566229</v>
      </c>
      <c r="FN25" s="165">
        <f t="shared" si="110"/>
        <v>0.008575000000000001</v>
      </c>
      <c r="FO25" s="165" t="str">
        <f t="shared" si="11"/>
        <v>n/a</v>
      </c>
      <c r="FP25" s="165">
        <f t="shared" si="111"/>
        <v>0.16855888054785442</v>
      </c>
      <c r="FQ25" s="168">
        <f t="shared" si="112"/>
        <v>0.17713388054785442</v>
      </c>
      <c r="FR25" s="185"/>
      <c r="FS25" s="165">
        <f t="shared" si="113"/>
        <v>0.0021437500000000003</v>
      </c>
      <c r="FT25" s="165" t="str">
        <f t="shared" si="114"/>
        <v>n/a</v>
      </c>
      <c r="FU25" s="165">
        <f t="shared" si="115"/>
        <v>0.042139720136963606</v>
      </c>
      <c r="FV25" s="596">
        <f>IF(SUM(FS25:FU25)&lt;$BZ$4,"",adjustparameter($AB25,0.01,SUM(FS25,FT25,FU25)/$AB25,$BZ$4))</f>
      </c>
      <c r="FW25" s="166">
        <f t="shared" si="116"/>
      </c>
      <c r="FX25" s="597">
        <f>IF($CK25="n/a","",IF(SUM(FS25:FU25)&lt;$BZ$4,"",adjustparameter($AO25,0.5*$AO25,SUM(SUM(FU25)*FV25/$AB25/$AO25),($BZ$4-SUM(FS25:FT25)*FV25/$AB25))))</f>
      </c>
      <c r="FY25" s="166">
        <f t="shared" si="117"/>
      </c>
      <c r="FZ25" s="165"/>
      <c r="GA25" s="166">
        <f t="shared" si="118"/>
      </c>
      <c r="GB25" s="165"/>
      <c r="GC25" s="166">
        <f t="shared" si="119"/>
      </c>
      <c r="GD25" s="595">
        <f t="shared" si="120"/>
      </c>
      <c r="GE25" s="165">
        <f>IF(GD25="","",VLOOKUP(GD25,Picklist!$C$2:$E$5,3))</f>
      </c>
      <c r="GF25" s="594">
        <f t="shared" si="121"/>
      </c>
      <c r="GG25" s="165"/>
      <c r="GH25" s="166">
        <f t="shared" si="12"/>
      </c>
      <c r="GI25" s="593">
        <f t="shared" si="122"/>
        <v>0.042875</v>
      </c>
      <c r="GJ25" s="594" t="str">
        <f t="shared" si="123"/>
        <v>n/a</v>
      </c>
      <c r="GK25" s="594">
        <f t="shared" si="124"/>
        <v>4.2139720136963605</v>
      </c>
      <c r="GL25" s="165">
        <f t="shared" si="125"/>
        <v>0.0021437500000000003</v>
      </c>
      <c r="GM25" s="165" t="str">
        <f t="shared" si="126"/>
        <v>n/a</v>
      </c>
      <c r="GN25" s="165">
        <f t="shared" si="127"/>
        <v>0.06019960019566229</v>
      </c>
      <c r="GO25" s="167">
        <f t="shared" si="128"/>
        <v>0.06234335019566229</v>
      </c>
      <c r="GP25" s="165">
        <f t="shared" si="129"/>
        <v>0.0021437500000000003</v>
      </c>
      <c r="GQ25" s="165" t="str">
        <f t="shared" si="13"/>
        <v>n/a</v>
      </c>
      <c r="GR25" s="165">
        <f t="shared" si="130"/>
        <v>0.042139720136963606</v>
      </c>
      <c r="GS25" s="170">
        <f t="shared" si="131"/>
        <v>0.044283470136963606</v>
      </c>
    </row>
    <row r="26" spans="1:201" s="139" customFormat="1" ht="119.25" customHeight="1">
      <c r="A26" s="144"/>
      <c r="B26" s="145"/>
      <c r="C26" s="172" t="s">
        <v>387</v>
      </c>
      <c r="D26" s="204" t="s">
        <v>16</v>
      </c>
      <c r="E26" s="216" t="s">
        <v>486</v>
      </c>
      <c r="F26" s="179">
        <v>0.5</v>
      </c>
      <c r="G26" s="121" t="s">
        <v>388</v>
      </c>
      <c r="H26" s="121"/>
      <c r="I26" s="121" t="s">
        <v>388</v>
      </c>
      <c r="J26" s="121" t="s">
        <v>139</v>
      </c>
      <c r="K26" s="121">
        <v>1</v>
      </c>
      <c r="L26" s="121">
        <v>428.75</v>
      </c>
      <c r="M26" s="121"/>
      <c r="N26" s="121">
        <v>1300</v>
      </c>
      <c r="O26" s="121">
        <v>20</v>
      </c>
      <c r="P26" s="176">
        <v>2.2</v>
      </c>
      <c r="Q26" s="151">
        <f t="shared" si="14"/>
        <v>35.72916666666667</v>
      </c>
      <c r="R26" s="132" t="str">
        <f t="shared" si="15"/>
        <v>n/a</v>
      </c>
      <c r="S26" s="143">
        <f t="shared" si="16"/>
        <v>1632.5833333333337</v>
      </c>
      <c r="T26" s="143">
        <f t="shared" si="17"/>
        <v>32500</v>
      </c>
      <c r="U26" s="143">
        <f t="shared" si="18"/>
        <v>32500</v>
      </c>
      <c r="V26" s="152">
        <f t="shared" si="19"/>
        <v>1668.3125000000005</v>
      </c>
      <c r="W26" s="153">
        <f t="shared" si="20"/>
        <v>1.7864583333333335</v>
      </c>
      <c r="X26" s="154" t="str">
        <f t="shared" si="21"/>
        <v>n/a</v>
      </c>
      <c r="Y26" s="154" t="str">
        <f t="shared" si="22"/>
        <v>n/a</v>
      </c>
      <c r="Z26" s="154">
        <f t="shared" si="23"/>
        <v>464.2857142857143</v>
      </c>
      <c r="AA26" s="155">
        <f t="shared" si="24"/>
        <v>466.0721726190476</v>
      </c>
      <c r="AB26" s="94">
        <v>0.275</v>
      </c>
      <c r="AC26" s="93" t="s">
        <v>433</v>
      </c>
      <c r="AD26" s="156">
        <v>0.04</v>
      </c>
      <c r="AE26" s="134" t="s">
        <v>654</v>
      </c>
      <c r="AF26" s="575">
        <v>428.75</v>
      </c>
      <c r="AG26" s="204" t="s">
        <v>515</v>
      </c>
      <c r="AH26" s="302"/>
      <c r="AI26" s="302"/>
      <c r="AJ26" s="303"/>
      <c r="AK26" s="303"/>
      <c r="AL26" s="204"/>
      <c r="AM26" s="87"/>
      <c r="AN26" s="120"/>
      <c r="AO26" s="87">
        <v>744</v>
      </c>
      <c r="AP26" s="99" t="s">
        <v>437</v>
      </c>
      <c r="AQ26" s="314"/>
      <c r="AR26" s="99"/>
      <c r="AS26" s="118" t="s">
        <v>496</v>
      </c>
      <c r="AT26" s="120">
        <f t="shared" si="25"/>
        <v>0.6</v>
      </c>
      <c r="AU26" s="131" t="str">
        <f t="shared" si="132"/>
        <v>RIVM  general fact sheet</v>
      </c>
      <c r="AV26" s="131">
        <f t="shared" si="26"/>
        <v>0.5552005288137497</v>
      </c>
      <c r="AW26" s="156">
        <f t="shared" si="133"/>
        <v>20</v>
      </c>
      <c r="AX26" s="156" t="str">
        <f t="shared" si="134"/>
        <v>TRA default</v>
      </c>
      <c r="AY26" s="121">
        <v>2.2</v>
      </c>
      <c r="AZ26" s="184" t="s">
        <v>515</v>
      </c>
      <c r="BA26" s="125">
        <f t="shared" si="0"/>
        <v>19.65104166666667</v>
      </c>
      <c r="BB26" s="125">
        <f t="shared" si="1"/>
        <v>0.7860416666666669</v>
      </c>
      <c r="BC26" s="120">
        <f t="shared" si="27"/>
        <v>2.7500000000000004</v>
      </c>
      <c r="BD26" s="120" t="str">
        <f t="shared" si="2"/>
        <v>n/a</v>
      </c>
      <c r="BE26" s="120" t="str">
        <f t="shared" si="3"/>
        <v>n/a</v>
      </c>
      <c r="BF26" s="120">
        <f t="shared" si="4"/>
        <v>285.3103341505115</v>
      </c>
      <c r="BG26" s="120">
        <f t="shared" si="28"/>
        <v>5679.701409764661</v>
      </c>
      <c r="BH26" s="120">
        <f t="shared" si="29"/>
      </c>
      <c r="BI26" s="120">
        <f t="shared" si="5"/>
        <v>520.6392958950939</v>
      </c>
      <c r="BJ26" s="158">
        <f t="shared" si="30"/>
        <v>20.825571835803757</v>
      </c>
      <c r="BK26" s="159">
        <f t="shared" si="31"/>
        <v>304.9613758171782</v>
      </c>
      <c r="BL26" s="160" t="str">
        <f t="shared" si="32"/>
        <v>n/a</v>
      </c>
      <c r="BM26" s="161" t="str">
        <f t="shared" si="33"/>
        <v>n/a</v>
      </c>
      <c r="BN26" s="161">
        <f t="shared" si="34"/>
        <v>0.9825520833333335</v>
      </c>
      <c r="BO26" s="162" t="str">
        <f t="shared" si="35"/>
        <v>n/a</v>
      </c>
      <c r="BP26" s="161">
        <f t="shared" si="36"/>
        <v>7.4377042270727705</v>
      </c>
      <c r="BQ26" s="162">
        <f t="shared" si="37"/>
        <v>8.420256310406105</v>
      </c>
      <c r="BR26" s="161">
        <f t="shared" si="38"/>
        <v>0.03930208333333334</v>
      </c>
      <c r="BS26" s="161" t="str">
        <f t="shared" si="39"/>
        <v>n/a</v>
      </c>
      <c r="BT26" s="161">
        <f t="shared" si="40"/>
        <v>0.29750816908291083</v>
      </c>
      <c r="BU26" s="161">
        <f t="shared" si="41"/>
        <v>0.3368102524162442</v>
      </c>
      <c r="BV26" s="163" t="str">
        <f t="shared" si="42"/>
        <v>Unless otherwise stated, covers concentrations up to 27,5% [ConsOC1]; covers use up to 11 days/year[ConsOC3]; covers use up to 1 time/on day of use[ConsOC4]; covers skin contact area up to 428,75 cm2 [ConsOC5]; for each use event, covers use amounts up to 744g [ConsOC2]; covers use under typical household ventilation [ConsOC8]; covers use in room size of 20m3[ConsOC11]; for each use event, covers exposure up to 2,20hr/event[ConsOC14]; </v>
      </c>
      <c r="BW26" s="126" t="str">
        <f t="shared" si="43"/>
        <v>No specific RMMs identified beyond those OCs stated</v>
      </c>
      <c r="BX26" s="125" t="str">
        <f t="shared" si="44"/>
        <v>Based upon infrequent use (&lt;365 days/yr)</v>
      </c>
      <c r="BY26" s="120">
        <f t="shared" si="45"/>
        <v>0.03930208333333334</v>
      </c>
      <c r="BZ26" s="120" t="str">
        <f t="shared" si="46"/>
        <v>n/a</v>
      </c>
      <c r="CA26" s="120">
        <f t="shared" si="47"/>
        <v>0.29750816908291083</v>
      </c>
      <c r="CB26" s="164">
        <f t="shared" si="48"/>
        <v>0.3368102524162442</v>
      </c>
      <c r="CC26" s="120">
        <f t="shared" si="49"/>
        <v>2.7500000000000004</v>
      </c>
      <c r="CD26" s="120" t="str">
        <f t="shared" si="50"/>
        <v>n/a</v>
      </c>
      <c r="CE26" s="159">
        <f t="shared" si="51"/>
        <v>20.825571835803757</v>
      </c>
      <c r="CF26" s="138"/>
      <c r="CG26" s="145" t="str">
        <f t="shared" si="135"/>
        <v>PC9a:Coatings, paints, thinners,paint removers</v>
      </c>
      <c r="CH26" s="118" t="str">
        <f t="shared" si="136"/>
        <v>Solvent rich, high solid, water borne paint</v>
      </c>
      <c r="CI26" s="120">
        <f t="shared" si="52"/>
        <v>0.7860416666666669</v>
      </c>
      <c r="CJ26" s="120" t="str">
        <f t="shared" si="53"/>
        <v>n/a</v>
      </c>
      <c r="CK26" s="120">
        <f t="shared" si="54"/>
        <v>20.825571835803757</v>
      </c>
      <c r="CL26" s="165"/>
      <c r="CM26" s="165">
        <f t="shared" si="55"/>
        <v>7.860416666666668</v>
      </c>
      <c r="CN26" s="165" t="str">
        <f t="shared" si="56"/>
        <v>n/a</v>
      </c>
      <c r="CO26" s="165">
        <f t="shared" si="57"/>
        <v>41.651143671607514</v>
      </c>
      <c r="CP26" s="598">
        <f>IF(SUM(CM26:CO26)&lt;$BZ$4,"",adjustparameter($AB26,0.01,SUM(CM26,CN26,CO26)/$AB26,$BZ$4))</f>
        <v>0.01</v>
      </c>
      <c r="CQ26" s="166">
        <f t="shared" si="58"/>
        <v>0.9636363636363636</v>
      </c>
      <c r="CR26" s="599">
        <f>IF($CK26="n/a","",IF(SUM(CM26:CO26)&lt;$BZ$4,"",adjustparameter($AO26,0.5*$AO26,SUM(SUM(CO26)*CP26/$AB26/$AO26),($BZ$4-SUM(CM26:CN26)*CP26/$AB26))))</f>
        <v>372</v>
      </c>
      <c r="CS26" s="166">
        <f t="shared" si="59"/>
        <v>0.5</v>
      </c>
      <c r="CT26" s="165"/>
      <c r="CU26" s="166">
        <f t="shared" si="60"/>
      </c>
      <c r="CV26" s="124"/>
      <c r="CW26" s="166">
        <f t="shared" si="61"/>
      </c>
      <c r="CX26" s="595" t="str">
        <f t="shared" si="62"/>
        <v>indoor, ventilation</v>
      </c>
      <c r="CY26" s="165">
        <f>IF(CX26="","",VLOOKUP(CX26,Picklist!$C$2:$E$5,3))</f>
        <v>2.5</v>
      </c>
      <c r="CZ26" s="594">
        <f t="shared" si="63"/>
        <v>0.6738563400639732</v>
      </c>
      <c r="DA26" s="165"/>
      <c r="DB26" s="166">
        <f t="shared" si="64"/>
      </c>
      <c r="DC26" s="165">
        <f t="shared" si="65"/>
        <v>0.02858333333333335</v>
      </c>
      <c r="DD26" s="165" t="str">
        <f t="shared" si="66"/>
        <v>n/a</v>
      </c>
      <c r="DE26" s="165">
        <f t="shared" si="67"/>
        <v>0.12349324034163055</v>
      </c>
      <c r="DF26" s="165">
        <f t="shared" si="68"/>
        <v>0.0014291666666666676</v>
      </c>
      <c r="DG26" s="165" t="str">
        <f t="shared" si="69"/>
        <v>n/a</v>
      </c>
      <c r="DH26" s="165">
        <f t="shared" si="70"/>
        <v>0.0017641891477375793</v>
      </c>
      <c r="DI26" s="167">
        <f t="shared" si="71"/>
        <v>0.003193355814404247</v>
      </c>
      <c r="DJ26" s="165">
        <f t="shared" si="72"/>
        <v>0.2858333333333334</v>
      </c>
      <c r="DK26" s="165" t="str">
        <f t="shared" si="7"/>
        <v>n/a</v>
      </c>
      <c r="DL26" s="165">
        <f t="shared" si="73"/>
        <v>0.24698648068326093</v>
      </c>
      <c r="DM26" s="168">
        <f t="shared" si="74"/>
        <v>0.5328198140165943</v>
      </c>
      <c r="DN26" s="185"/>
      <c r="DO26" s="165">
        <f t="shared" si="75"/>
        <v>0.7860416666666669</v>
      </c>
      <c r="DP26" s="165" t="str">
        <f t="shared" si="76"/>
        <v>n/a</v>
      </c>
      <c r="DQ26" s="165">
        <f t="shared" si="77"/>
        <v>4.165114367160752</v>
      </c>
      <c r="DR26" s="598">
        <f>IF(SUM(DO26:DQ26)&lt;$BZ$4,"",adjustparameter($AB26,0.01,SUM(DO26,DP26,DQ26)/$AB26,$BZ$4))</f>
        <v>0.04998832561709306</v>
      </c>
      <c r="DS26" s="166">
        <f t="shared" si="78"/>
        <v>0.818224270483298</v>
      </c>
      <c r="DT26" s="597">
        <f>IF($CK26="n/a","",IF(SUM(DO26:DQ26)&lt;$BZ$4,"",adjustparameter($AO26,0.5*$AO26,SUM(SUM(DQ26)*DR26/$AB26/$AO26),($BZ$4-SUM(DO26:DP26)*DR26/$AB26))))</f>
      </c>
      <c r="DU26" s="166">
        <f t="shared" si="8"/>
      </c>
      <c r="DV26" s="165"/>
      <c r="DW26" s="166">
        <f t="shared" si="79"/>
      </c>
      <c r="DX26" s="165"/>
      <c r="DY26" s="166">
        <f t="shared" si="80"/>
      </c>
      <c r="DZ26" s="595">
        <f t="shared" si="81"/>
      </c>
      <c r="EA26" s="165">
        <f>IF(DZ26="","",VLOOKUP(DZ26,Picklist!$C$2:$E$5,3))</f>
      </c>
      <c r="EB26" s="594">
        <f t="shared" si="82"/>
      </c>
      <c r="EC26" s="165"/>
      <c r="ED26" s="166">
        <f t="shared" si="83"/>
      </c>
      <c r="EE26" s="593">
        <f t="shared" si="84"/>
        <v>0.14288329738885763</v>
      </c>
      <c r="EF26" s="594" t="str">
        <f t="shared" si="85"/>
        <v>n/a</v>
      </c>
      <c r="EG26" s="594">
        <f t="shared" si="86"/>
        <v>3.78558351305571</v>
      </c>
      <c r="EH26" s="165">
        <f t="shared" si="87"/>
        <v>0.007144164869442882</v>
      </c>
      <c r="EI26" s="165" t="str">
        <f t="shared" si="88"/>
        <v>n/a</v>
      </c>
      <c r="EJ26" s="165">
        <f t="shared" si="89"/>
        <v>0.05407976447222443</v>
      </c>
      <c r="EK26" s="167">
        <f t="shared" si="90"/>
        <v>0.06122392934166731</v>
      </c>
      <c r="EL26" s="165">
        <f t="shared" si="91"/>
        <v>0.1428832973888577</v>
      </c>
      <c r="EM26" s="165" t="str">
        <f t="shared" si="9"/>
        <v>n/a</v>
      </c>
      <c r="EN26" s="165">
        <f t="shared" si="92"/>
        <v>0.7571167026111423</v>
      </c>
      <c r="EO26" s="168">
        <f t="shared" si="93"/>
        <v>0.8999999999999999</v>
      </c>
      <c r="EP26" s="185"/>
      <c r="EQ26" s="165">
        <f t="shared" si="94"/>
        <v>0.15720833333333337</v>
      </c>
      <c r="ER26" s="165" t="str">
        <f t="shared" si="95"/>
        <v>n/a</v>
      </c>
      <c r="ES26" s="165">
        <f t="shared" si="96"/>
        <v>0.8330228734321503</v>
      </c>
      <c r="ET26" s="596">
        <f>IF(SUM(EQ26:ES26)&lt;$BZ$4,"",adjustparameter($AB26,0.01,SUM(EQ26,ER26,ES26)/$AB26,$BZ$4))</f>
        <v>0.2499416280854653</v>
      </c>
      <c r="EU26" s="166">
        <f t="shared" si="97"/>
        <v>0.09112135241648989</v>
      </c>
      <c r="EV26" s="597">
        <f>IF($CK26="n/a","",IF(SUM(EQ26:ES26)&lt;$BZ$4,"",adjustparameter($AO26,0.5*$AO26,SUM(SUM(ES26)*ET26/$AB26/$AO26),($BZ$4-SUM(EQ26:ER26)*ET26/$AB26))))</f>
        <v>743.9999999999999</v>
      </c>
      <c r="EW26" s="166">
        <f t="shared" si="98"/>
        <v>1.5280488941077425E-16</v>
      </c>
      <c r="EX26" s="165"/>
      <c r="EY26" s="166">
        <f t="shared" si="99"/>
      </c>
      <c r="EZ26" s="217"/>
      <c r="FA26" s="166">
        <f t="shared" si="100"/>
      </c>
      <c r="FB26" s="595">
        <f t="shared" si="101"/>
      </c>
      <c r="FC26" s="165">
        <f>IF(FB26="","",VLOOKUP(FB26,Picklist!$C$2:$E$5,3))</f>
      </c>
      <c r="FD26" s="594">
        <f t="shared" si="102"/>
      </c>
      <c r="FE26" s="165"/>
      <c r="FF26" s="166">
        <f t="shared" si="10"/>
      </c>
      <c r="FG26" s="593">
        <f t="shared" si="103"/>
        <v>0.7144164869442884</v>
      </c>
      <c r="FH26" s="594" t="str">
        <f t="shared" si="104"/>
        <v>n/a</v>
      </c>
      <c r="FI26" s="594">
        <f t="shared" si="105"/>
        <v>18.927917565278552</v>
      </c>
      <c r="FJ26" s="165">
        <f t="shared" si="106"/>
        <v>0.03572082434721442</v>
      </c>
      <c r="FK26" s="165" t="str">
        <f t="shared" si="107"/>
        <v>n/a</v>
      </c>
      <c r="FL26" s="165">
        <f t="shared" si="108"/>
        <v>0.27039882236112217</v>
      </c>
      <c r="FM26" s="167">
        <f t="shared" si="109"/>
        <v>0.3061196467083366</v>
      </c>
      <c r="FN26" s="165">
        <f t="shared" si="110"/>
        <v>0.1428832973888577</v>
      </c>
      <c r="FO26" s="165" t="str">
        <f t="shared" si="11"/>
        <v>n/a</v>
      </c>
      <c r="FP26" s="165">
        <f t="shared" si="111"/>
        <v>0.7571167026111422</v>
      </c>
      <c r="FQ26" s="168">
        <f t="shared" si="112"/>
        <v>0.8999999999999999</v>
      </c>
      <c r="FR26" s="185"/>
      <c r="FS26" s="165">
        <f t="shared" si="113"/>
        <v>0.03930208333333334</v>
      </c>
      <c r="FT26" s="165" t="str">
        <f t="shared" si="114"/>
        <v>n/a</v>
      </c>
      <c r="FU26" s="165">
        <f t="shared" si="115"/>
        <v>0.20825571835803758</v>
      </c>
      <c r="FV26" s="596">
        <f>IF(SUM(FS26:FU26)&lt;$BZ$4,"",adjustparameter($AB26,0.01,SUM(FS26,FT26,FU26)/$AB26,$BZ$4))</f>
      </c>
      <c r="FW26" s="166">
        <f t="shared" si="116"/>
      </c>
      <c r="FX26" s="597">
        <f>IF($CK26="n/a","",IF(SUM(FS26:FU26)&lt;$BZ$4,"",adjustparameter($AO26,0.5*$AO26,SUM(SUM(FU26)*FV26/$AB26/$AO26),($BZ$4-SUM(FS26:FT26)*FV26/$AB26))))</f>
      </c>
      <c r="FY26" s="166">
        <f t="shared" si="117"/>
      </c>
      <c r="FZ26" s="165"/>
      <c r="GA26" s="166">
        <f t="shared" si="118"/>
      </c>
      <c r="GB26" s="165"/>
      <c r="GC26" s="166">
        <f t="shared" si="119"/>
      </c>
      <c r="GD26" s="595">
        <f t="shared" si="120"/>
      </c>
      <c r="GE26" s="165">
        <f>IF(GD26="","",VLOOKUP(GD26,Picklist!$C$2:$E$5,3))</f>
      </c>
      <c r="GF26" s="594">
        <f t="shared" si="121"/>
      </c>
      <c r="GG26" s="165"/>
      <c r="GH26" s="166">
        <f t="shared" si="12"/>
      </c>
      <c r="GI26" s="593">
        <f t="shared" si="122"/>
        <v>0.7860416666666669</v>
      </c>
      <c r="GJ26" s="594" t="str">
        <f t="shared" si="123"/>
        <v>n/a</v>
      </c>
      <c r="GK26" s="594">
        <f t="shared" si="124"/>
        <v>20.825571835803757</v>
      </c>
      <c r="GL26" s="165">
        <f t="shared" si="125"/>
        <v>0.03930208333333334</v>
      </c>
      <c r="GM26" s="165" t="str">
        <f t="shared" si="126"/>
        <v>n/a</v>
      </c>
      <c r="GN26" s="165">
        <f t="shared" si="127"/>
        <v>0.29750816908291083</v>
      </c>
      <c r="GO26" s="167">
        <f t="shared" si="128"/>
        <v>0.3368102524162442</v>
      </c>
      <c r="GP26" s="165">
        <f t="shared" si="129"/>
        <v>0.03930208333333334</v>
      </c>
      <c r="GQ26" s="165" t="str">
        <f t="shared" si="13"/>
        <v>n/a</v>
      </c>
      <c r="GR26" s="165">
        <f t="shared" si="130"/>
        <v>0.20825571835803758</v>
      </c>
      <c r="GS26" s="170">
        <f t="shared" si="131"/>
        <v>0.24755780169137093</v>
      </c>
    </row>
    <row r="27" spans="1:201" s="139" customFormat="1" ht="102" customHeight="1">
      <c r="A27" s="144"/>
      <c r="B27" s="145"/>
      <c r="C27" s="172" t="s">
        <v>387</v>
      </c>
      <c r="D27" s="204" t="s">
        <v>16</v>
      </c>
      <c r="E27" s="216" t="s">
        <v>395</v>
      </c>
      <c r="F27" s="179">
        <v>0.5</v>
      </c>
      <c r="G27" s="121"/>
      <c r="H27" s="121"/>
      <c r="I27" s="121" t="s">
        <v>388</v>
      </c>
      <c r="J27" s="121" t="s">
        <v>398</v>
      </c>
      <c r="K27" s="121">
        <v>1</v>
      </c>
      <c r="L27" s="121"/>
      <c r="M27" s="121"/>
      <c r="N27" s="121">
        <v>300</v>
      </c>
      <c r="O27" s="121">
        <v>20</v>
      </c>
      <c r="P27" s="206">
        <v>0.3333333333333333</v>
      </c>
      <c r="Q27" s="151" t="str">
        <f t="shared" si="14"/>
        <v>n/a</v>
      </c>
      <c r="R27" s="132" t="str">
        <f t="shared" si="15"/>
        <v>n/a</v>
      </c>
      <c r="S27" s="143">
        <f t="shared" si="16"/>
        <v>57.083333333333336</v>
      </c>
      <c r="T27" s="143">
        <f t="shared" si="17"/>
        <v>7500</v>
      </c>
      <c r="U27" s="143">
        <f t="shared" si="18"/>
        <v>7500</v>
      </c>
      <c r="V27" s="152">
        <f t="shared" si="19"/>
        <v>57.083333333333336</v>
      </c>
      <c r="W27" s="153" t="str">
        <f t="shared" si="20"/>
        <v>n/a</v>
      </c>
      <c r="X27" s="154" t="str">
        <f t="shared" si="21"/>
        <v>n/a</v>
      </c>
      <c r="Y27" s="154" t="str">
        <f t="shared" si="22"/>
        <v>n/a</v>
      </c>
      <c r="Z27" s="154">
        <f t="shared" si="23"/>
        <v>107.14285714285714</v>
      </c>
      <c r="AA27" s="155">
        <f t="shared" si="24"/>
        <v>107.14285714285714</v>
      </c>
      <c r="AB27" s="92">
        <v>0.5</v>
      </c>
      <c r="AC27" s="88" t="s">
        <v>515</v>
      </c>
      <c r="AD27" s="156">
        <v>0.04</v>
      </c>
      <c r="AE27" s="134" t="s">
        <v>638</v>
      </c>
      <c r="AF27" s="575"/>
      <c r="AG27" s="204"/>
      <c r="AH27" s="302"/>
      <c r="AI27" s="302"/>
      <c r="AJ27" s="304"/>
      <c r="AK27" s="304"/>
      <c r="AL27" s="204"/>
      <c r="AM27" s="87"/>
      <c r="AN27" s="120"/>
      <c r="AO27" s="87">
        <v>215</v>
      </c>
      <c r="AP27" s="99" t="s">
        <v>439</v>
      </c>
      <c r="AQ27" s="314"/>
      <c r="AR27" s="99"/>
      <c r="AS27" s="118" t="s">
        <v>498</v>
      </c>
      <c r="AT27" s="120">
        <f t="shared" si="25"/>
        <v>1.5</v>
      </c>
      <c r="AU27" s="131" t="str">
        <f>IF(AND(AS27="outdoor",AT27=0.6),"est. conservative value for outdoor","RIVM  general fact sheet")</f>
        <v>RIVM  general fact sheet</v>
      </c>
      <c r="AV27" s="131">
        <f t="shared" si="26"/>
        <v>0.7887456418256379</v>
      </c>
      <c r="AW27" s="156">
        <f t="shared" si="133"/>
        <v>34</v>
      </c>
      <c r="AX27" s="156" t="str">
        <f>IF(AW27=20,"TRA default",IF(AW27=34,"RIVM general fact sheet",IF(AW27=100,"Stoffenmanager volume used for outdoors","")))</f>
        <v>RIVM general fact sheet</v>
      </c>
      <c r="AY27" s="218">
        <v>0.33</v>
      </c>
      <c r="AZ27" s="184" t="s">
        <v>515</v>
      </c>
      <c r="BA27" s="125" t="str">
        <f t="shared" si="0"/>
        <v>n/a</v>
      </c>
      <c r="BB27" s="125" t="str">
        <f t="shared" si="1"/>
        <v>n/a</v>
      </c>
      <c r="BC27" s="120" t="str">
        <f t="shared" si="27"/>
        <v>n/a</v>
      </c>
      <c r="BD27" s="120" t="str">
        <f t="shared" si="2"/>
        <v>n/a</v>
      </c>
      <c r="BE27" s="120" t="str">
        <f t="shared" si="3"/>
        <v>n/a</v>
      </c>
      <c r="BF27" s="120">
        <f t="shared" si="4"/>
        <v>18.790994976449696</v>
      </c>
      <c r="BG27" s="120">
        <f t="shared" si="28"/>
        <v>2493.8281322428256</v>
      </c>
      <c r="BH27" s="120">
        <f t="shared" si="29"/>
      </c>
      <c r="BI27" s="120">
        <f t="shared" si="5"/>
        <v>34.29013681833886</v>
      </c>
      <c r="BJ27" s="158">
        <f t="shared" si="30"/>
        <v>1.3716054727335543</v>
      </c>
      <c r="BK27" s="159">
        <f t="shared" si="31"/>
        <v>18.790994976449696</v>
      </c>
      <c r="BL27" s="160" t="str">
        <f t="shared" si="32"/>
        <v>n/a</v>
      </c>
      <c r="BM27" s="161" t="str">
        <f t="shared" si="33"/>
        <v>n/a</v>
      </c>
      <c r="BN27" s="161" t="str">
        <f t="shared" si="34"/>
        <v>n/a</v>
      </c>
      <c r="BO27" s="162" t="str">
        <f t="shared" si="35"/>
        <v>n/a</v>
      </c>
      <c r="BP27" s="161">
        <f t="shared" si="36"/>
        <v>0.48985909740484085</v>
      </c>
      <c r="BQ27" s="162">
        <f t="shared" si="37"/>
        <v>0.48985909740484085</v>
      </c>
      <c r="BR27" s="161" t="str">
        <f t="shared" si="38"/>
        <v>n/a</v>
      </c>
      <c r="BS27" s="161" t="str">
        <f t="shared" si="39"/>
        <v>n/a</v>
      </c>
      <c r="BT27" s="161">
        <f t="shared" si="40"/>
        <v>0.019594363896193633</v>
      </c>
      <c r="BU27" s="161">
        <f t="shared" si="41"/>
        <v>0.019594363896193633</v>
      </c>
      <c r="BV27" s="163" t="str">
        <f t="shared" si="42"/>
        <v>Unless otherwise stated, covers concentrations up to 50% [ConsOC1]; covers use up to 11 days/year[ConsOC3]; covers use up to 1 time/on day of use[ConsOC4]; for each use event, covers use amounts up to 215g [ConsOC2]; Covers use in a one car garage (34m3) under typcial ventilation [ConsOC10]; covers use in room size of 34m3[ConsOC11]; for each use event, covers exposure up to 0,33hr/event[ConsOC14]; </v>
      </c>
      <c r="BW27" s="126" t="str">
        <f t="shared" si="43"/>
        <v>No specific RMMs identified beyond those OCs stated</v>
      </c>
      <c r="BX27" s="125" t="str">
        <f t="shared" si="44"/>
        <v>Based upon daily use</v>
      </c>
      <c r="BY27" s="120" t="str">
        <f t="shared" si="45"/>
        <v>n/a</v>
      </c>
      <c r="BZ27" s="120" t="str">
        <f t="shared" si="46"/>
        <v>n/a</v>
      </c>
      <c r="CA27" s="120">
        <f t="shared" si="47"/>
        <v>0.48985909740484085</v>
      </c>
      <c r="CB27" s="164">
        <f t="shared" si="48"/>
        <v>0.48985909740484085</v>
      </c>
      <c r="CC27" s="120" t="str">
        <f t="shared" si="49"/>
        <v>n/a</v>
      </c>
      <c r="CD27" s="120" t="str">
        <f t="shared" si="50"/>
        <v>n/a</v>
      </c>
      <c r="CE27" s="159">
        <f t="shared" si="51"/>
        <v>34.29013681833886</v>
      </c>
      <c r="CF27" s="138"/>
      <c r="CG27" s="145" t="str">
        <f t="shared" si="135"/>
        <v>PC9a:Coatings, paints, thinners,paint removers</v>
      </c>
      <c r="CH27" s="118" t="str">
        <f t="shared" si="136"/>
        <v>Aerosol spray can </v>
      </c>
      <c r="CI27" s="120" t="str">
        <f t="shared" si="52"/>
        <v>n/a</v>
      </c>
      <c r="CJ27" s="120" t="str">
        <f t="shared" si="53"/>
        <v>n/a</v>
      </c>
      <c r="CK27" s="120">
        <f t="shared" si="54"/>
        <v>1.3716054727335543</v>
      </c>
      <c r="CL27" s="165"/>
      <c r="CM27" s="165" t="str">
        <f t="shared" si="55"/>
        <v>n/a</v>
      </c>
      <c r="CN27" s="165" t="str">
        <f t="shared" si="56"/>
        <v>n/a</v>
      </c>
      <c r="CO27" s="165">
        <f t="shared" si="57"/>
        <v>2.7432109454671085</v>
      </c>
      <c r="CP27" s="598">
        <f>IF(SUM(CM27:CO27)&lt;$BZ$4,"",adjustparameter($AB27,0.01,SUM(CM27,CN27,CO27)/$AB27,$BZ$4))</f>
        <v>0.1640413402197821</v>
      </c>
      <c r="CQ27" s="166">
        <f t="shared" si="58"/>
        <v>0.6719173195604358</v>
      </c>
      <c r="CR27" s="599">
        <f>IF($CK27="n/a","",IF(SUM(CM27:CO27)&lt;$BZ$4,"",adjustparameter($AO27,0.5*$AO27,SUM(SUM(CO27)*CP27/$AB27/$AO27),($BZ$4-SUM(CM27:CN27)*CP27/$AB27))))</f>
      </c>
      <c r="CS27" s="166">
        <f t="shared" si="59"/>
      </c>
      <c r="CT27" s="165"/>
      <c r="CU27" s="166">
        <f t="shared" si="60"/>
      </c>
      <c r="CV27" s="124"/>
      <c r="CW27" s="166">
        <f t="shared" si="61"/>
      </c>
      <c r="CX27" s="595">
        <f t="shared" si="62"/>
      </c>
      <c r="CY27" s="165">
        <f>IF(CX27="","",VLOOKUP(CX27,Picklist!$C$2:$E$5,3))</f>
      </c>
      <c r="CZ27" s="594">
        <f t="shared" si="63"/>
      </c>
      <c r="DA27" s="165"/>
      <c r="DB27" s="166">
        <f t="shared" si="64"/>
      </c>
      <c r="DC27" s="165" t="str">
        <f t="shared" si="65"/>
        <v>n/a</v>
      </c>
      <c r="DD27" s="165" t="str">
        <f t="shared" si="66"/>
        <v>n/a</v>
      </c>
      <c r="DE27" s="165">
        <f t="shared" si="67"/>
        <v>0.4500000000000001</v>
      </c>
      <c r="DF27" s="165" t="str">
        <f t="shared" si="68"/>
        <v>n/a</v>
      </c>
      <c r="DG27" s="165" t="str">
        <f t="shared" si="69"/>
        <v>n/a</v>
      </c>
      <c r="DH27" s="165">
        <f t="shared" si="70"/>
        <v>0.00642857142857143</v>
      </c>
      <c r="DI27" s="167">
        <f t="shared" si="71"/>
        <v>0.00642857142857143</v>
      </c>
      <c r="DJ27" s="165" t="str">
        <f t="shared" si="72"/>
        <v>n/a</v>
      </c>
      <c r="DK27" s="165" t="str">
        <f t="shared" si="7"/>
        <v>n/a</v>
      </c>
      <c r="DL27" s="165">
        <f t="shared" si="73"/>
        <v>0.9000000000000001</v>
      </c>
      <c r="DM27" s="168">
        <f t="shared" si="74"/>
        <v>0.9000000000000001</v>
      </c>
      <c r="DN27" s="185"/>
      <c r="DO27" s="165" t="str">
        <f t="shared" si="75"/>
        <v>n/a</v>
      </c>
      <c r="DP27" s="165" t="str">
        <f t="shared" si="76"/>
        <v>n/a</v>
      </c>
      <c r="DQ27" s="165">
        <f t="shared" si="77"/>
        <v>0.27432109454671083</v>
      </c>
      <c r="DR27" s="598">
        <f>IF(SUM(DO27:DQ27)&lt;$BZ$4,"",adjustparameter($AB27,0.01,SUM(DO27,DP27,DQ27)/$AB27,$BZ$4))</f>
      </c>
      <c r="DS27" s="166">
        <f t="shared" si="78"/>
      </c>
      <c r="DT27" s="597">
        <f>IF($CK27="n/a","",IF(SUM(DO27:DQ27)&lt;$BZ$4,"",adjustparameter($AO27,0.5*$AO27,SUM(SUM(DQ27)*DR27/$AB27/$AO27),($BZ$4-SUM(DO27:DP27)*DR27/$AB27))))</f>
      </c>
      <c r="DU27" s="166">
        <f t="shared" si="8"/>
      </c>
      <c r="DV27" s="165"/>
      <c r="DW27" s="166">
        <f t="shared" si="79"/>
      </c>
      <c r="DX27" s="165"/>
      <c r="DY27" s="166">
        <f t="shared" si="80"/>
      </c>
      <c r="DZ27" s="595">
        <f t="shared" si="81"/>
      </c>
      <c r="EA27" s="165">
        <f>IF(DZ27="","",VLOOKUP(DZ27,Picklist!$C$2:$E$5,3))</f>
      </c>
      <c r="EB27" s="594">
        <f t="shared" si="82"/>
      </c>
      <c r="EC27" s="165"/>
      <c r="ED27" s="166">
        <f t="shared" si="83"/>
      </c>
      <c r="EE27" s="593" t="str">
        <f t="shared" si="84"/>
        <v>n/a</v>
      </c>
      <c r="EF27" s="594" t="str">
        <f t="shared" si="85"/>
        <v>n/a</v>
      </c>
      <c r="EG27" s="594">
        <f t="shared" si="86"/>
        <v>1.3716054727335543</v>
      </c>
      <c r="EH27" s="165" t="str">
        <f t="shared" si="87"/>
        <v>n/a</v>
      </c>
      <c r="EI27" s="165" t="str">
        <f t="shared" si="88"/>
        <v>n/a</v>
      </c>
      <c r="EJ27" s="165">
        <f t="shared" si="89"/>
        <v>0.019594363896193633</v>
      </c>
      <c r="EK27" s="167">
        <f t="shared" si="90"/>
        <v>0.019594363896193633</v>
      </c>
      <c r="EL27" s="165" t="str">
        <f t="shared" si="91"/>
        <v>n/a</v>
      </c>
      <c r="EM27" s="165" t="str">
        <f t="shared" si="9"/>
        <v>n/a</v>
      </c>
      <c r="EN27" s="165">
        <f t="shared" si="92"/>
        <v>0.27432109454671083</v>
      </c>
      <c r="EO27" s="168">
        <f t="shared" si="93"/>
        <v>0.27432109454671083</v>
      </c>
      <c r="EP27" s="185"/>
      <c r="EQ27" s="165" t="str">
        <f t="shared" si="94"/>
        <v>n/a</v>
      </c>
      <c r="ER27" s="165" t="str">
        <f t="shared" si="95"/>
        <v>n/a</v>
      </c>
      <c r="ES27" s="165">
        <f t="shared" si="96"/>
        <v>0.05486421890934217</v>
      </c>
      <c r="ET27" s="596">
        <f>IF(SUM(EQ27:ES27)&lt;$BZ$4,"",adjustparameter($AB27,0.01,SUM(EQ27,ER27,ES27)/$AB27,$BZ$4))</f>
      </c>
      <c r="EU27" s="166">
        <f t="shared" si="97"/>
      </c>
      <c r="EV27" s="597">
        <f>IF($CK27="n/a","",IF(SUM(EQ27:ES27)&lt;$BZ$4,"",adjustparameter($AO27,0.5*$AO27,SUM(SUM(ES27)*ET27/$AB27/$AO27),($BZ$4-SUM(EQ27:ER27)*ET27/$AB27))))</f>
      </c>
      <c r="EW27" s="166">
        <f t="shared" si="98"/>
      </c>
      <c r="EX27" s="165"/>
      <c r="EY27" s="166">
        <f t="shared" si="99"/>
      </c>
      <c r="EZ27" s="217"/>
      <c r="FA27" s="166">
        <f t="shared" si="100"/>
      </c>
      <c r="FB27" s="595">
        <f t="shared" si="101"/>
      </c>
      <c r="FC27" s="165">
        <f>IF(FB27="","",VLOOKUP(FB27,Picklist!$C$2:$E$5,3))</f>
      </c>
      <c r="FD27" s="594">
        <f t="shared" si="102"/>
      </c>
      <c r="FE27" s="165"/>
      <c r="FF27" s="166">
        <f t="shared" si="10"/>
      </c>
      <c r="FG27" s="593" t="str">
        <f t="shared" si="103"/>
        <v>n/a</v>
      </c>
      <c r="FH27" s="594" t="str">
        <f t="shared" si="104"/>
        <v>n/a</v>
      </c>
      <c r="FI27" s="594">
        <f t="shared" si="105"/>
        <v>1.3716054727335543</v>
      </c>
      <c r="FJ27" s="165" t="str">
        <f t="shared" si="106"/>
        <v>n/a</v>
      </c>
      <c r="FK27" s="165" t="str">
        <f t="shared" si="107"/>
        <v>n/a</v>
      </c>
      <c r="FL27" s="165">
        <f t="shared" si="108"/>
        <v>0.019594363896193633</v>
      </c>
      <c r="FM27" s="167">
        <f t="shared" si="109"/>
        <v>0.019594363896193633</v>
      </c>
      <c r="FN27" s="165" t="str">
        <f t="shared" si="110"/>
        <v>n/a</v>
      </c>
      <c r="FO27" s="165" t="str">
        <f t="shared" si="11"/>
        <v>n/a</v>
      </c>
      <c r="FP27" s="165">
        <f t="shared" si="111"/>
        <v>0.05486421890934217</v>
      </c>
      <c r="FQ27" s="168">
        <f t="shared" si="112"/>
        <v>0.05486421890934217</v>
      </c>
      <c r="FR27" s="185"/>
      <c r="FS27" s="165" t="str">
        <f t="shared" si="113"/>
        <v>n/a</v>
      </c>
      <c r="FT27" s="165" t="str">
        <f t="shared" si="114"/>
        <v>n/a</v>
      </c>
      <c r="FU27" s="165">
        <f t="shared" si="115"/>
        <v>0.013716054727335543</v>
      </c>
      <c r="FV27" s="596">
        <f>IF(SUM(FS27:FU27)&lt;$BZ$4,"",adjustparameter($AB27,0.01,SUM(FS27,FT27,FU27)/$AB27,$BZ$4))</f>
      </c>
      <c r="FW27" s="166">
        <f t="shared" si="116"/>
      </c>
      <c r="FX27" s="597">
        <f>IF($CK27="n/a","",IF(SUM(FS27:FU27)&lt;$BZ$4,"",adjustparameter($AO27,0.5*$AO27,SUM(SUM(FU27)*FV27/$AB27/$AO27),($BZ$4-SUM(FS27:FT27)*FV27/$AB27))))</f>
      </c>
      <c r="FY27" s="166">
        <f t="shared" si="117"/>
      </c>
      <c r="FZ27" s="165"/>
      <c r="GA27" s="166">
        <f t="shared" si="118"/>
      </c>
      <c r="GB27" s="165"/>
      <c r="GC27" s="166">
        <f t="shared" si="119"/>
      </c>
      <c r="GD27" s="595">
        <f t="shared" si="120"/>
      </c>
      <c r="GE27" s="165">
        <f>IF(GD27="","",VLOOKUP(GD27,Picklist!$C$2:$E$5,3))</f>
      </c>
      <c r="GF27" s="594">
        <f t="shared" si="121"/>
      </c>
      <c r="GG27" s="165"/>
      <c r="GH27" s="166">
        <f t="shared" si="12"/>
      </c>
      <c r="GI27" s="593" t="str">
        <f t="shared" si="122"/>
        <v>n/a</v>
      </c>
      <c r="GJ27" s="594" t="str">
        <f t="shared" si="123"/>
        <v>n/a</v>
      </c>
      <c r="GK27" s="594">
        <f t="shared" si="124"/>
        <v>1.3716054727335543</v>
      </c>
      <c r="GL27" s="165" t="str">
        <f t="shared" si="125"/>
        <v>n/a</v>
      </c>
      <c r="GM27" s="165" t="str">
        <f t="shared" si="126"/>
        <v>n/a</v>
      </c>
      <c r="GN27" s="165">
        <f t="shared" si="127"/>
        <v>0.019594363896193633</v>
      </c>
      <c r="GO27" s="167">
        <f t="shared" si="128"/>
        <v>0.019594363896193633</v>
      </c>
      <c r="GP27" s="165" t="str">
        <f t="shared" si="129"/>
        <v>n/a</v>
      </c>
      <c r="GQ27" s="165" t="str">
        <f t="shared" si="13"/>
        <v>n/a</v>
      </c>
      <c r="GR27" s="165">
        <f t="shared" si="130"/>
        <v>0.013716054727335543</v>
      </c>
      <c r="GS27" s="170">
        <f t="shared" si="131"/>
        <v>0.013716054727335543</v>
      </c>
    </row>
    <row r="28" spans="1:201" s="139" customFormat="1" ht="192" customHeight="1">
      <c r="A28" s="144"/>
      <c r="B28" s="145"/>
      <c r="C28" s="172" t="s">
        <v>387</v>
      </c>
      <c r="D28" s="204" t="s">
        <v>16</v>
      </c>
      <c r="E28" s="216" t="s">
        <v>448</v>
      </c>
      <c r="F28" s="179">
        <v>0.9</v>
      </c>
      <c r="G28" s="121" t="s">
        <v>388</v>
      </c>
      <c r="H28" s="121"/>
      <c r="I28" s="121" t="s">
        <v>388</v>
      </c>
      <c r="J28" s="121" t="s">
        <v>139</v>
      </c>
      <c r="K28" s="121">
        <v>1</v>
      </c>
      <c r="L28" s="121">
        <v>857.5</v>
      </c>
      <c r="M28" s="121"/>
      <c r="N28" s="121">
        <v>2000</v>
      </c>
      <c r="O28" s="121">
        <v>20</v>
      </c>
      <c r="P28" s="176">
        <v>4</v>
      </c>
      <c r="Q28" s="151">
        <f t="shared" si="14"/>
        <v>128.625</v>
      </c>
      <c r="R28" s="132" t="str">
        <f t="shared" si="15"/>
        <v>n/a</v>
      </c>
      <c r="S28" s="143">
        <f t="shared" si="16"/>
        <v>8220</v>
      </c>
      <c r="T28" s="143">
        <f t="shared" si="17"/>
        <v>90000</v>
      </c>
      <c r="U28" s="143">
        <f t="shared" si="18"/>
        <v>90000</v>
      </c>
      <c r="V28" s="152">
        <f t="shared" si="19"/>
        <v>8348.625</v>
      </c>
      <c r="W28" s="153">
        <f t="shared" si="20"/>
        <v>6.43125</v>
      </c>
      <c r="X28" s="154" t="str">
        <f t="shared" si="21"/>
        <v>n/a</v>
      </c>
      <c r="Y28" s="154" t="str">
        <f t="shared" si="22"/>
        <v>n/a</v>
      </c>
      <c r="Z28" s="154">
        <f t="shared" si="23"/>
        <v>1285.7142857142858</v>
      </c>
      <c r="AA28" s="155">
        <f t="shared" si="24"/>
        <v>1292.1455357142859</v>
      </c>
      <c r="AB28" s="94">
        <v>0.5</v>
      </c>
      <c r="AC28" s="93" t="s">
        <v>433</v>
      </c>
      <c r="AD28" s="156">
        <v>0.04</v>
      </c>
      <c r="AE28" s="134" t="s">
        <v>655</v>
      </c>
      <c r="AF28" s="92">
        <v>857.5</v>
      </c>
      <c r="AG28" s="204" t="s">
        <v>515</v>
      </c>
      <c r="AH28" s="302"/>
      <c r="AI28" s="302"/>
      <c r="AJ28" s="303"/>
      <c r="AK28" s="303"/>
      <c r="AL28" s="204"/>
      <c r="AM28" s="87"/>
      <c r="AN28" s="120"/>
      <c r="AO28" s="87">
        <v>491</v>
      </c>
      <c r="AP28" s="99" t="s">
        <v>440</v>
      </c>
      <c r="AQ28" s="314"/>
      <c r="AR28" s="99"/>
      <c r="AS28" s="118" t="s">
        <v>496</v>
      </c>
      <c r="AT28" s="120">
        <f t="shared" si="25"/>
        <v>0.6</v>
      </c>
      <c r="AU28" s="131" t="str">
        <f>IF(AND(AS28="outdoor",AT28=0.6),"est. conservative value for outdoor","RIVM  general fact sheet")</f>
        <v>RIVM  general fact sheet</v>
      </c>
      <c r="AV28" s="131">
        <f t="shared" si="26"/>
        <v>0.5823381567398316</v>
      </c>
      <c r="AW28" s="156">
        <f t="shared" si="133"/>
        <v>20</v>
      </c>
      <c r="AX28" s="156" t="str">
        <f>IF(AW28=20,"TRA default",IF(AW28=34,"RIVM general fact sheet",IF(AW28=100,"Stoffenmanager volume used for outdoors","")))</f>
        <v>TRA default</v>
      </c>
      <c r="AY28" s="164">
        <v>2</v>
      </c>
      <c r="AZ28" s="192" t="s">
        <v>441</v>
      </c>
      <c r="BA28" s="125">
        <f t="shared" si="0"/>
        <v>71.45833333333334</v>
      </c>
      <c r="BB28" s="125">
        <f t="shared" si="1"/>
        <v>2.858333333333334</v>
      </c>
      <c r="BC28" s="120">
        <f t="shared" si="27"/>
        <v>5</v>
      </c>
      <c r="BD28" s="120" t="str">
        <f t="shared" si="2"/>
        <v>n/a</v>
      </c>
      <c r="BE28" s="120" t="str">
        <f t="shared" si="3"/>
        <v>n/a</v>
      </c>
      <c r="BF28" s="120">
        <f t="shared" si="4"/>
        <v>326.43450657848547</v>
      </c>
      <c r="BG28" s="120">
        <f t="shared" si="28"/>
        <v>7148.200873981433</v>
      </c>
      <c r="BH28" s="120">
        <f t="shared" si="29"/>
      </c>
      <c r="BI28" s="120">
        <f t="shared" si="5"/>
        <v>595.6834061651194</v>
      </c>
      <c r="BJ28" s="158">
        <f t="shared" si="30"/>
        <v>23.827336246604776</v>
      </c>
      <c r="BK28" s="159">
        <f t="shared" si="31"/>
        <v>397.8928399118188</v>
      </c>
      <c r="BL28" s="160" t="str">
        <f t="shared" si="32"/>
        <v>n/a</v>
      </c>
      <c r="BM28" s="161" t="str">
        <f t="shared" si="33"/>
        <v>n/a</v>
      </c>
      <c r="BN28" s="161">
        <f t="shared" si="34"/>
        <v>3.572916666666667</v>
      </c>
      <c r="BO28" s="162" t="str">
        <f t="shared" si="35"/>
        <v>n/a</v>
      </c>
      <c r="BP28" s="161">
        <f t="shared" si="36"/>
        <v>8.509762945215991</v>
      </c>
      <c r="BQ28" s="162">
        <f t="shared" si="37"/>
        <v>12.082679611882657</v>
      </c>
      <c r="BR28" s="161">
        <f t="shared" si="38"/>
        <v>0.1429166666666667</v>
      </c>
      <c r="BS28" s="161" t="str">
        <f t="shared" si="39"/>
        <v>n/a</v>
      </c>
      <c r="BT28" s="161">
        <f t="shared" si="40"/>
        <v>0.34039051780863966</v>
      </c>
      <c r="BU28" s="161">
        <f t="shared" si="41"/>
        <v>0.48330718447530635</v>
      </c>
      <c r="BV28" s="163" t="str">
        <f t="shared" si="42"/>
        <v>Unless otherwise stated, covers concentrations up to 50% [ConsOC1]; covers use up to 11 days/year[ConsOC3]; covers use up to 1 time/on day of use[ConsOC4]; covers skin contact area up to 857,50 cm2 [ConsOC5]; for each use event, covers use amounts up to 491g [ConsOC2]; covers use under typical household ventilation [ConsOC8]; covers use in room size of 20m3[ConsOC11]; for each use event, covers exposure up to 2,00hr/event[ConsOC14]; </v>
      </c>
      <c r="BW28" s="126" t="str">
        <f t="shared" si="43"/>
        <v>No specific RMMs identified beyond those OCs stated</v>
      </c>
      <c r="BX28" s="125" t="str">
        <f t="shared" si="44"/>
        <v>Based upon infrequent use (&lt;365 days/yr)</v>
      </c>
      <c r="BY28" s="120">
        <f t="shared" si="45"/>
        <v>0.1429166666666667</v>
      </c>
      <c r="BZ28" s="120" t="str">
        <f t="shared" si="46"/>
        <v>n/a</v>
      </c>
      <c r="CA28" s="120">
        <f t="shared" si="47"/>
        <v>0.34039051780863966</v>
      </c>
      <c r="CB28" s="164">
        <f t="shared" si="48"/>
        <v>0.48330718447530635</v>
      </c>
      <c r="CC28" s="120">
        <f t="shared" si="49"/>
        <v>5</v>
      </c>
      <c r="CD28" s="120" t="str">
        <f t="shared" si="50"/>
        <v>n/a</v>
      </c>
      <c r="CE28" s="159">
        <f t="shared" si="51"/>
        <v>23.827336246604776</v>
      </c>
      <c r="CF28" s="138"/>
      <c r="CG28" s="145" t="str">
        <f t="shared" si="135"/>
        <v>PC9a:Coatings, paints, thinners,paint removers</v>
      </c>
      <c r="CH28" s="118" t="str">
        <f t="shared" si="136"/>
        <v>Removers (paint-, glue-, wall paper-, sealant-remover)</v>
      </c>
      <c r="CI28" s="120">
        <f t="shared" si="52"/>
        <v>2.858333333333334</v>
      </c>
      <c r="CJ28" s="120" t="str">
        <f t="shared" si="53"/>
        <v>n/a</v>
      </c>
      <c r="CK28" s="120">
        <f t="shared" si="54"/>
        <v>23.827336246604776</v>
      </c>
      <c r="CL28" s="165"/>
      <c r="CM28" s="165">
        <f t="shared" si="55"/>
        <v>28.583333333333336</v>
      </c>
      <c r="CN28" s="165" t="str">
        <f t="shared" si="56"/>
        <v>n/a</v>
      </c>
      <c r="CO28" s="165">
        <f t="shared" si="57"/>
        <v>47.65467249320955</v>
      </c>
      <c r="CP28" s="598">
        <f>IF(SUM(CM28:CO28)&lt;$BZ$4,"",adjustparameter($AB28,0.01,SUM(CM28,CN28,CO28)/$AB28,$BZ$4))</f>
        <v>0.01</v>
      </c>
      <c r="CQ28" s="166">
        <f t="shared" si="58"/>
        <v>0.98</v>
      </c>
      <c r="CR28" s="599">
        <f>IF($CK28="n/a","",IF(SUM(CM28:CO28)&lt;$BZ$4,"",adjustparameter($AO28,0.5*$AO28,SUM(SUM(CO28)*CP28/$AB28/$AO28),($BZ$4-SUM(CM28:CN28)*CP28/$AB28))))</f>
        <v>245.5</v>
      </c>
      <c r="CS28" s="166">
        <f t="shared" si="59"/>
        <v>0.5</v>
      </c>
      <c r="CT28" s="165"/>
      <c r="CU28" s="166">
        <f t="shared" si="60"/>
      </c>
      <c r="CV28" s="124"/>
      <c r="CW28" s="166">
        <f t="shared" si="61"/>
      </c>
      <c r="CX28" s="595" t="str">
        <f t="shared" si="62"/>
        <v>indoor, ventilation</v>
      </c>
      <c r="CY28" s="165">
        <f>IF(CX28="","",VLOOKUP(CX28,Picklist!$C$2:$E$5,3))</f>
        <v>2.5</v>
      </c>
      <c r="CZ28" s="594">
        <f t="shared" si="63"/>
        <v>0.6588710385863761</v>
      </c>
      <c r="DA28" s="165"/>
      <c r="DB28" s="166">
        <f t="shared" si="64"/>
      </c>
      <c r="DC28" s="165">
        <f t="shared" si="65"/>
        <v>0.05716666666666673</v>
      </c>
      <c r="DD28" s="165" t="str">
        <f t="shared" si="66"/>
        <v>n/a</v>
      </c>
      <c r="DE28" s="165">
        <f t="shared" si="67"/>
        <v>0.08128194467057491</v>
      </c>
      <c r="DF28" s="165">
        <f t="shared" si="68"/>
        <v>0.0028583333333333364</v>
      </c>
      <c r="DG28" s="165" t="str">
        <f t="shared" si="69"/>
        <v>n/a</v>
      </c>
      <c r="DH28" s="165">
        <f t="shared" si="70"/>
        <v>0.0011611706381510702</v>
      </c>
      <c r="DI28" s="167">
        <f t="shared" si="71"/>
        <v>0.004019503971484407</v>
      </c>
      <c r="DJ28" s="165">
        <f t="shared" si="72"/>
        <v>0.5716666666666668</v>
      </c>
      <c r="DK28" s="165" t="str">
        <f t="shared" si="7"/>
        <v>n/a</v>
      </c>
      <c r="DL28" s="165">
        <f t="shared" si="73"/>
        <v>0.1625638893411497</v>
      </c>
      <c r="DM28" s="168">
        <f t="shared" si="74"/>
        <v>0.7342305560078165</v>
      </c>
      <c r="DN28" s="185"/>
      <c r="DO28" s="165">
        <f t="shared" si="75"/>
        <v>2.858333333333334</v>
      </c>
      <c r="DP28" s="165" t="str">
        <f t="shared" si="76"/>
        <v>n/a</v>
      </c>
      <c r="DQ28" s="165">
        <f t="shared" si="77"/>
        <v>4.765467249320955</v>
      </c>
      <c r="DR28" s="598">
        <f>IF(SUM(DO28:DQ28)&lt;$BZ$4,"",adjustparameter($AB28,0.01,SUM(DO28,DP28,DQ28)/$AB28,$BZ$4))</f>
        <v>0.059025678219317854</v>
      </c>
      <c r="DS28" s="166">
        <f t="shared" si="78"/>
        <v>0.8819486435613643</v>
      </c>
      <c r="DT28" s="597">
        <f>IF($CK28="n/a","",IF(SUM(DO28:DQ28)&lt;$BZ$4,"",adjustparameter($AO28,0.5*$AO28,SUM(SUM(DQ28)*DR28/$AB28/$AO28),($BZ$4-SUM(DO28:DP28)*DR28/$AB28))))</f>
      </c>
      <c r="DU28" s="166">
        <f t="shared" si="8"/>
      </c>
      <c r="DV28" s="165"/>
      <c r="DW28" s="166">
        <f t="shared" si="79"/>
      </c>
      <c r="DX28" s="165"/>
      <c r="DY28" s="166">
        <f t="shared" si="80"/>
      </c>
      <c r="DZ28" s="595">
        <f t="shared" si="81"/>
      </c>
      <c r="EA28" s="165">
        <f>IF(DZ28="","",VLOOKUP(DZ28,Picklist!$C$2:$E$5,3))</f>
      </c>
      <c r="EB28" s="594">
        <f t="shared" si="82"/>
      </c>
      <c r="EC28" s="165"/>
      <c r="ED28" s="166">
        <f t="shared" si="83"/>
      </c>
      <c r="EE28" s="593">
        <f t="shared" si="84"/>
        <v>0.3374301271537672</v>
      </c>
      <c r="EF28" s="594" t="str">
        <f t="shared" si="85"/>
        <v>n/a</v>
      </c>
      <c r="EG28" s="594">
        <f t="shared" si="86"/>
        <v>2.8128493642311656</v>
      </c>
      <c r="EH28" s="165">
        <f t="shared" si="87"/>
        <v>0.01687150635768836</v>
      </c>
      <c r="EI28" s="165" t="str">
        <f t="shared" si="88"/>
        <v>n/a</v>
      </c>
      <c r="EJ28" s="165">
        <f t="shared" si="89"/>
        <v>0.04018356234615951</v>
      </c>
      <c r="EK28" s="167">
        <f t="shared" si="90"/>
        <v>0.05705506870384787</v>
      </c>
      <c r="EL28" s="165">
        <f t="shared" si="91"/>
        <v>0.33743012715376713</v>
      </c>
      <c r="EM28" s="165" t="str">
        <f t="shared" si="9"/>
        <v>n/a</v>
      </c>
      <c r="EN28" s="165">
        <f t="shared" si="92"/>
        <v>0.5625698728462329</v>
      </c>
      <c r="EO28" s="168">
        <f t="shared" si="93"/>
        <v>0.9000000000000001</v>
      </c>
      <c r="EP28" s="185"/>
      <c r="EQ28" s="165">
        <f t="shared" si="94"/>
        <v>0.5716666666666668</v>
      </c>
      <c r="ER28" s="165" t="str">
        <f t="shared" si="95"/>
        <v>n/a</v>
      </c>
      <c r="ES28" s="165">
        <f t="shared" si="96"/>
        <v>0.9530934498641911</v>
      </c>
      <c r="ET28" s="596">
        <f>IF(SUM(EQ28:ES28)&lt;$BZ$4,"",adjustparameter($AB28,0.01,SUM(EQ28,ER28,ES28)/$AB28,$BZ$4))</f>
        <v>0.2951283910965892</v>
      </c>
      <c r="EU28" s="166">
        <f t="shared" si="97"/>
        <v>0.40974321780682155</v>
      </c>
      <c r="EV28" s="597">
        <f>IF($CK28="n/a","",IF(SUM(EQ28:ES28)&lt;$BZ$4,"",adjustparameter($AO28,0.5*$AO28,SUM(SUM(ES28)*ET28/$AB28/$AO28),($BZ$4-SUM(EQ28:ER28)*ET28/$AB28))))</f>
      </c>
      <c r="EW28" s="166">
        <f t="shared" si="98"/>
      </c>
      <c r="EX28" s="165"/>
      <c r="EY28" s="166">
        <f t="shared" si="99"/>
      </c>
      <c r="EZ28" s="217"/>
      <c r="FA28" s="166">
        <f t="shared" si="100"/>
      </c>
      <c r="FB28" s="595">
        <f t="shared" si="101"/>
      </c>
      <c r="FC28" s="165">
        <f>IF(FB28="","",VLOOKUP(FB28,Picklist!$C$2:$E$5,3))</f>
      </c>
      <c r="FD28" s="594">
        <f t="shared" si="102"/>
      </c>
      <c r="FE28" s="165"/>
      <c r="FF28" s="166">
        <f t="shared" si="10"/>
      </c>
      <c r="FG28" s="593">
        <f t="shared" si="103"/>
        <v>1.6871506357688353</v>
      </c>
      <c r="FH28" s="594" t="str">
        <f t="shared" si="104"/>
        <v>n/a</v>
      </c>
      <c r="FI28" s="594">
        <f t="shared" si="105"/>
        <v>14.064246821155821</v>
      </c>
      <c r="FJ28" s="165">
        <f t="shared" si="106"/>
        <v>0.08435753178844177</v>
      </c>
      <c r="FK28" s="165" t="str">
        <f t="shared" si="107"/>
        <v>n/a</v>
      </c>
      <c r="FL28" s="165">
        <f t="shared" si="108"/>
        <v>0.20091781173079745</v>
      </c>
      <c r="FM28" s="167">
        <f t="shared" si="109"/>
        <v>0.2852753435192392</v>
      </c>
      <c r="FN28" s="165">
        <f t="shared" si="110"/>
        <v>0.3374301271537671</v>
      </c>
      <c r="FO28" s="165" t="str">
        <f t="shared" si="11"/>
        <v>n/a</v>
      </c>
      <c r="FP28" s="165">
        <f t="shared" si="111"/>
        <v>0.5625698728462328</v>
      </c>
      <c r="FQ28" s="168">
        <f t="shared" si="112"/>
        <v>0.8999999999999999</v>
      </c>
      <c r="FR28" s="185"/>
      <c r="FS28" s="165">
        <f t="shared" si="113"/>
        <v>0.1429166666666667</v>
      </c>
      <c r="FT28" s="165" t="str">
        <f t="shared" si="114"/>
        <v>n/a</v>
      </c>
      <c r="FU28" s="165">
        <f t="shared" si="115"/>
        <v>0.23827336246604777</v>
      </c>
      <c r="FV28" s="596">
        <f>IF(SUM(FS28:FU28)&lt;$BZ$4,"",adjustparameter($AB28,0.01,SUM(FS28,FT28,FU28)/$AB28,$BZ$4))</f>
      </c>
      <c r="FW28" s="166">
        <f t="shared" si="116"/>
      </c>
      <c r="FX28" s="597">
        <f>IF($CK28="n/a","",IF(SUM(FS28:FU28)&lt;$BZ$4,"",adjustparameter($AO28,0.5*$AO28,SUM(SUM(FU28)*FV28/$AB28/$AO28),($BZ$4-SUM(FS28:FT28)*FV28/$AB28))))</f>
      </c>
      <c r="FY28" s="166">
        <f t="shared" si="117"/>
      </c>
      <c r="FZ28" s="165"/>
      <c r="GA28" s="166">
        <f t="shared" si="118"/>
      </c>
      <c r="GB28" s="165"/>
      <c r="GC28" s="166">
        <f t="shared" si="119"/>
      </c>
      <c r="GD28" s="595">
        <f t="shared" si="120"/>
      </c>
      <c r="GE28" s="165">
        <f>IF(GD28="","",VLOOKUP(GD28,Picklist!$C$2:$E$5,3))</f>
      </c>
      <c r="GF28" s="594">
        <f t="shared" si="121"/>
      </c>
      <c r="GG28" s="165"/>
      <c r="GH28" s="166">
        <f t="shared" si="12"/>
      </c>
      <c r="GI28" s="593">
        <f t="shared" si="122"/>
        <v>2.858333333333334</v>
      </c>
      <c r="GJ28" s="594" t="str">
        <f t="shared" si="123"/>
        <v>n/a</v>
      </c>
      <c r="GK28" s="594">
        <f t="shared" si="124"/>
        <v>23.827336246604776</v>
      </c>
      <c r="GL28" s="165">
        <f t="shared" si="125"/>
        <v>0.1429166666666667</v>
      </c>
      <c r="GM28" s="165" t="str">
        <f t="shared" si="126"/>
        <v>n/a</v>
      </c>
      <c r="GN28" s="165">
        <f t="shared" si="127"/>
        <v>0.34039051780863966</v>
      </c>
      <c r="GO28" s="167">
        <f t="shared" si="128"/>
        <v>0.48330718447530635</v>
      </c>
      <c r="GP28" s="165">
        <f t="shared" si="129"/>
        <v>0.1429166666666667</v>
      </c>
      <c r="GQ28" s="165" t="str">
        <f t="shared" si="13"/>
        <v>n/a</v>
      </c>
      <c r="GR28" s="165">
        <f t="shared" si="130"/>
        <v>0.23827336246604777</v>
      </c>
      <c r="GS28" s="170">
        <f t="shared" si="131"/>
        <v>0.3811900291327145</v>
      </c>
    </row>
    <row r="29" spans="1:201" s="139" customFormat="1" ht="118.5">
      <c r="A29" s="144"/>
      <c r="B29" s="145"/>
      <c r="C29" s="172" t="s">
        <v>387</v>
      </c>
      <c r="D29" s="204" t="s">
        <v>484</v>
      </c>
      <c r="E29" s="216" t="s">
        <v>487</v>
      </c>
      <c r="F29" s="179">
        <v>1</v>
      </c>
      <c r="G29" s="121" t="s">
        <v>388</v>
      </c>
      <c r="H29" s="121"/>
      <c r="I29" s="121" t="s">
        <v>388</v>
      </c>
      <c r="J29" s="121" t="s">
        <v>139</v>
      </c>
      <c r="K29" s="121">
        <v>1</v>
      </c>
      <c r="L29" s="218">
        <v>35.72916666666667</v>
      </c>
      <c r="M29" s="121"/>
      <c r="N29" s="121">
        <v>1000</v>
      </c>
      <c r="O29" s="121">
        <v>20</v>
      </c>
      <c r="P29" s="176">
        <v>4</v>
      </c>
      <c r="Q29" s="151">
        <f t="shared" si="14"/>
        <v>5.9548611111111125</v>
      </c>
      <c r="R29" s="132" t="str">
        <f t="shared" si="15"/>
        <v>n/a</v>
      </c>
      <c r="S29" s="143">
        <f t="shared" si="16"/>
        <v>4566.666666666667</v>
      </c>
      <c r="T29" s="143">
        <f t="shared" si="17"/>
        <v>50000</v>
      </c>
      <c r="U29" s="143">
        <f t="shared" si="18"/>
        <v>50000</v>
      </c>
      <c r="V29" s="152">
        <f t="shared" si="19"/>
        <v>4572.621527777778</v>
      </c>
      <c r="W29" s="153">
        <f t="shared" si="20"/>
        <v>0.29774305555555564</v>
      </c>
      <c r="X29" s="154" t="str">
        <f t="shared" si="21"/>
        <v>n/a</v>
      </c>
      <c r="Y29" s="154" t="str">
        <f t="shared" si="22"/>
        <v>n/a</v>
      </c>
      <c r="Z29" s="154">
        <f t="shared" si="23"/>
        <v>714.2857142857143</v>
      </c>
      <c r="AA29" s="155">
        <f t="shared" si="24"/>
        <v>714.5834573412699</v>
      </c>
      <c r="AB29" s="94">
        <v>0.02</v>
      </c>
      <c r="AC29" s="93" t="s">
        <v>492</v>
      </c>
      <c r="AD29" s="156">
        <v>0.2</v>
      </c>
      <c r="AE29" s="134" t="s">
        <v>639</v>
      </c>
      <c r="AF29" s="577">
        <v>35.72916666666667</v>
      </c>
      <c r="AG29" s="204" t="s">
        <v>515</v>
      </c>
      <c r="AH29" s="302"/>
      <c r="AI29" s="302"/>
      <c r="AJ29" s="303"/>
      <c r="AK29" s="303"/>
      <c r="AL29" s="204"/>
      <c r="AM29" s="87"/>
      <c r="AN29" s="120"/>
      <c r="AO29" s="91">
        <v>85</v>
      </c>
      <c r="AP29" s="91" t="s">
        <v>443</v>
      </c>
      <c r="AQ29" s="87"/>
      <c r="AR29" s="91"/>
      <c r="AS29" s="118" t="s">
        <v>496</v>
      </c>
      <c r="AT29" s="120">
        <f t="shared" si="25"/>
        <v>0.6</v>
      </c>
      <c r="AU29" s="131" t="str">
        <f>IF(AND(AS29="outdoor",AT29=0.6),"est. conservative value for outdoor","RIVM  general fact sheet")</f>
        <v>RIVM  general fact sheet</v>
      </c>
      <c r="AV29" s="131">
        <f t="shared" si="26"/>
        <v>0.37886751946274483</v>
      </c>
      <c r="AW29" s="156">
        <f t="shared" si="133"/>
        <v>20</v>
      </c>
      <c r="AX29" s="156" t="str">
        <f>IF(AW29=20,"TRA default",IF(AW29=34,"RIVM general fact sheet",IF(AW29=100,"Stoffenmanager volume used for outdoors","")))</f>
        <v>TRA default</v>
      </c>
      <c r="AY29" s="121">
        <v>4</v>
      </c>
      <c r="AZ29" s="159" t="s">
        <v>515</v>
      </c>
      <c r="BA29" s="125">
        <f t="shared" si="0"/>
        <v>0.11909722222222226</v>
      </c>
      <c r="BB29" s="125">
        <f t="shared" si="1"/>
        <v>0.023819444444444452</v>
      </c>
      <c r="BC29" s="120">
        <f t="shared" si="27"/>
        <v>0.2</v>
      </c>
      <c r="BD29" s="120" t="str">
        <f t="shared" si="2"/>
        <v>n/a</v>
      </c>
      <c r="BE29" s="120" t="str">
        <f t="shared" si="3"/>
        <v>n/a</v>
      </c>
      <c r="BF29" s="120">
        <f t="shared" si="4"/>
        <v>2.941274842762443</v>
      </c>
      <c r="BG29" s="120">
        <f t="shared" si="28"/>
        <v>32.203739154333306</v>
      </c>
      <c r="BH29" s="120">
        <f t="shared" si="29"/>
      </c>
      <c r="BI29" s="120">
        <f t="shared" si="5"/>
        <v>5.367289859055551</v>
      </c>
      <c r="BJ29" s="158">
        <f t="shared" si="30"/>
        <v>1.0734579718111104</v>
      </c>
      <c r="BK29" s="159">
        <f t="shared" si="31"/>
        <v>3.0603720649846653</v>
      </c>
      <c r="BL29" s="160" t="str">
        <f t="shared" si="32"/>
        <v>n/a</v>
      </c>
      <c r="BM29" s="161" t="str">
        <f t="shared" si="33"/>
        <v>n/a</v>
      </c>
      <c r="BN29" s="161">
        <f t="shared" si="34"/>
        <v>0.005954861111111113</v>
      </c>
      <c r="BO29" s="162" t="str">
        <f t="shared" si="35"/>
        <v>n/a</v>
      </c>
      <c r="BP29" s="161">
        <f t="shared" si="36"/>
        <v>0.07667556941507929</v>
      </c>
      <c r="BQ29" s="162">
        <f t="shared" si="37"/>
        <v>0.0826304305261904</v>
      </c>
      <c r="BR29" s="161">
        <f t="shared" si="38"/>
        <v>0.0011909722222222226</v>
      </c>
      <c r="BS29" s="161" t="str">
        <f t="shared" si="39"/>
        <v>n/a</v>
      </c>
      <c r="BT29" s="161">
        <f t="shared" si="40"/>
        <v>0.015335113883015863</v>
      </c>
      <c r="BU29" s="161">
        <f t="shared" si="41"/>
        <v>0.016526086105238084</v>
      </c>
      <c r="BV29" s="163" t="str">
        <f t="shared" si="42"/>
        <v>Unless otherwise stated, covers concentrations up to 2% [ConsOC1]; covers use up to 51 days/year[ConsOC3]; covers use up to 1 time/on day of use[ConsOC4]; covers skin contact area up to 35,73 cm2 [ConsOC5]; for each use event, covers use amounts up to 85g [ConsOC2]; covers use under typical household ventilation [ConsOC8]; covers use in room size of 20m3[ConsOC11]; for each use event, covers exposure up to 4,00hr/event[ConsOC14]; </v>
      </c>
      <c r="BW29" s="126" t="str">
        <f t="shared" si="43"/>
        <v>No specific RMMs identified beyond those OCs stated</v>
      </c>
      <c r="BX29" s="125" t="str">
        <f t="shared" si="44"/>
        <v>Based upon daily use</v>
      </c>
      <c r="BY29" s="120">
        <f t="shared" si="45"/>
        <v>0.005954861111111113</v>
      </c>
      <c r="BZ29" s="120" t="str">
        <f t="shared" si="46"/>
        <v>n/a</v>
      </c>
      <c r="CA29" s="120">
        <f t="shared" si="47"/>
        <v>0.07667556941507929</v>
      </c>
      <c r="CB29" s="164">
        <f t="shared" si="48"/>
        <v>0.0826304305261904</v>
      </c>
      <c r="CC29" s="120">
        <f t="shared" si="49"/>
        <v>0.023819444444444452</v>
      </c>
      <c r="CD29" s="120" t="str">
        <f t="shared" si="50"/>
        <v>n/a</v>
      </c>
      <c r="CE29" s="159">
        <f t="shared" si="51"/>
        <v>5.367289859055551</v>
      </c>
      <c r="CF29" s="138"/>
      <c r="CG29" s="145" t="str">
        <f t="shared" si="135"/>
        <v>PC9b:Fillers, putties, plasters, modeling clay</v>
      </c>
      <c r="CH29" s="118" t="str">
        <f t="shared" si="136"/>
        <v>Fillers and putty </v>
      </c>
      <c r="CI29" s="120">
        <f t="shared" si="52"/>
        <v>0.023819444444444452</v>
      </c>
      <c r="CJ29" s="120" t="str">
        <f t="shared" si="53"/>
        <v>n/a</v>
      </c>
      <c r="CK29" s="120">
        <f t="shared" si="54"/>
        <v>1.0734579718111104</v>
      </c>
      <c r="CL29" s="165"/>
      <c r="CM29" s="165">
        <f t="shared" si="55"/>
        <v>0.23819444444444451</v>
      </c>
      <c r="CN29" s="165" t="str">
        <f t="shared" si="56"/>
        <v>n/a</v>
      </c>
      <c r="CO29" s="165">
        <f t="shared" si="57"/>
        <v>2.1469159436222207</v>
      </c>
      <c r="CP29" s="598">
        <f>IF(SUM(CM29:CO29)&lt;$BZ$4,"",adjustparameter($AB29,0.01,SUM(CM29,CN29,CO29)/$AB29,$BZ$4))</f>
        <v>0.01</v>
      </c>
      <c r="CQ29" s="166">
        <f t="shared" si="58"/>
        <v>0.5</v>
      </c>
      <c r="CR29" s="599">
        <f>IF($CK29="n/a","",IF(SUM(CM29:CO29)&lt;$BZ$4,"",adjustparameter($AO29,0.5*$AO29,SUM(SUM(CO29)*CP29/$AB29/$AO29),($BZ$4-SUM(CM29:CN29)*CP29/$AB29))))</f>
        <v>61.83449921110745</v>
      </c>
      <c r="CS29" s="166">
        <f t="shared" si="59"/>
        <v>0.2725353033987359</v>
      </c>
      <c r="CT29" s="165"/>
      <c r="CU29" s="166">
        <f t="shared" si="60"/>
      </c>
      <c r="CV29" s="124"/>
      <c r="CW29" s="166">
        <f t="shared" si="61"/>
      </c>
      <c r="CX29" s="595">
        <f t="shared" si="62"/>
      </c>
      <c r="CY29" s="165">
        <f>IF(CX29="","",VLOOKUP(CX29,Picklist!$C$2:$E$5,3))</f>
      </c>
      <c r="CZ29" s="594">
        <f t="shared" si="63"/>
      </c>
      <c r="DA29" s="165"/>
      <c r="DB29" s="166">
        <f t="shared" si="64"/>
      </c>
      <c r="DC29" s="165">
        <f t="shared" si="65"/>
        <v>0.011909722222222226</v>
      </c>
      <c r="DD29" s="165" t="str">
        <f t="shared" si="66"/>
        <v>n/a</v>
      </c>
      <c r="DE29" s="165">
        <f t="shared" si="67"/>
        <v>0.39045138888888886</v>
      </c>
      <c r="DF29" s="165">
        <f t="shared" si="68"/>
        <v>0.0005954861111111113</v>
      </c>
      <c r="DG29" s="165" t="str">
        <f t="shared" si="69"/>
        <v>n/a</v>
      </c>
      <c r="DH29" s="165">
        <f t="shared" si="70"/>
        <v>0.005577876984126984</v>
      </c>
      <c r="DI29" s="167">
        <f t="shared" si="71"/>
        <v>0.006173363095238095</v>
      </c>
      <c r="DJ29" s="165">
        <f t="shared" si="72"/>
        <v>0.11909722222222226</v>
      </c>
      <c r="DK29" s="165" t="str">
        <f t="shared" si="7"/>
        <v>n/a</v>
      </c>
      <c r="DL29" s="165">
        <f t="shared" si="73"/>
        <v>0.7809027777777777</v>
      </c>
      <c r="DM29" s="168">
        <f t="shared" si="74"/>
        <v>0.9</v>
      </c>
      <c r="DN29" s="185"/>
      <c r="DO29" s="165">
        <f t="shared" si="75"/>
        <v>0.023819444444444452</v>
      </c>
      <c r="DP29" s="165" t="str">
        <f t="shared" si="76"/>
        <v>n/a</v>
      </c>
      <c r="DQ29" s="165">
        <f t="shared" si="77"/>
        <v>0.21469159436222207</v>
      </c>
      <c r="DR29" s="598">
        <f>IF(SUM(DO29:DQ29)&lt;$BZ$4,"",adjustparameter($AB29,0.01,SUM(DO29,DP29,DQ29)/$AB29,$BZ$4))</f>
      </c>
      <c r="DS29" s="166">
        <f t="shared" si="78"/>
      </c>
      <c r="DT29" s="597">
        <f>IF($CK29="n/a","",IF(SUM(DO29:DQ29)&lt;$BZ$4,"",adjustparameter($AO29,0.5*$AO29,SUM(SUM(DQ29)*DR29/$AB29/$AO29),($BZ$4-SUM(DO29:DP29)*DR29/$AB29))))</f>
      </c>
      <c r="DU29" s="166">
        <f t="shared" si="8"/>
      </c>
      <c r="DV29" s="165"/>
      <c r="DW29" s="166">
        <f t="shared" si="79"/>
      </c>
      <c r="DX29" s="165"/>
      <c r="DY29" s="166">
        <f t="shared" si="80"/>
      </c>
      <c r="DZ29" s="595">
        <f t="shared" si="81"/>
      </c>
      <c r="EA29" s="165">
        <f>IF(DZ29="","",VLOOKUP(DZ29,Picklist!$C$2:$E$5,3))</f>
      </c>
      <c r="EB29" s="594">
        <f t="shared" si="82"/>
      </c>
      <c r="EC29" s="165"/>
      <c r="ED29" s="166">
        <f t="shared" si="83"/>
      </c>
      <c r="EE29" s="593">
        <f t="shared" si="84"/>
        <v>0.023819444444444452</v>
      </c>
      <c r="EF29" s="594" t="str">
        <f t="shared" si="85"/>
        <v>n/a</v>
      </c>
      <c r="EG29" s="594">
        <f t="shared" si="86"/>
        <v>1.0734579718111104</v>
      </c>
      <c r="EH29" s="165">
        <f t="shared" si="87"/>
        <v>0.0011909722222222226</v>
      </c>
      <c r="EI29" s="165" t="str">
        <f t="shared" si="88"/>
        <v>n/a</v>
      </c>
      <c r="EJ29" s="165">
        <f t="shared" si="89"/>
        <v>0.015335113883015863</v>
      </c>
      <c r="EK29" s="167">
        <f t="shared" si="90"/>
        <v>0.016526086105238084</v>
      </c>
      <c r="EL29" s="165">
        <f t="shared" si="91"/>
        <v>0.023819444444444452</v>
      </c>
      <c r="EM29" s="165" t="str">
        <f t="shared" si="9"/>
        <v>n/a</v>
      </c>
      <c r="EN29" s="165">
        <f t="shared" si="92"/>
        <v>0.21469159436222207</v>
      </c>
      <c r="EO29" s="168">
        <f t="shared" si="93"/>
        <v>0.23851103880666652</v>
      </c>
      <c r="EP29" s="185"/>
      <c r="EQ29" s="165">
        <f t="shared" si="94"/>
        <v>0.00476388888888889</v>
      </c>
      <c r="ER29" s="165" t="str">
        <f t="shared" si="95"/>
        <v>n/a</v>
      </c>
      <c r="ES29" s="165">
        <f t="shared" si="96"/>
        <v>0.04293831887244441</v>
      </c>
      <c r="ET29" s="596">
        <f>IF(SUM(EQ29:ES29)&lt;$BZ$4,"",adjustparameter($AB29,0.01,SUM(EQ29,ER29,ES29)/$AB29,$BZ$4))</f>
      </c>
      <c r="EU29" s="166">
        <f t="shared" si="97"/>
      </c>
      <c r="EV29" s="597">
        <f>IF($CK29="n/a","",IF(SUM(EQ29:ES29)&lt;$BZ$4,"",adjustparameter($AO29,0.5*$AO29,SUM(SUM(ES29)*ET29/$AB29/$AO29),($BZ$4-SUM(EQ29:ER29)*ET29/$AB29))))</f>
      </c>
      <c r="EW29" s="166">
        <f t="shared" si="98"/>
      </c>
      <c r="EX29" s="165"/>
      <c r="EY29" s="166">
        <f t="shared" si="99"/>
      </c>
      <c r="EZ29" s="217"/>
      <c r="FA29" s="166">
        <f t="shared" si="100"/>
      </c>
      <c r="FB29" s="595">
        <f t="shared" si="101"/>
      </c>
      <c r="FC29" s="165">
        <f>IF(FB29="","",VLOOKUP(FB29,Picklist!$C$2:$E$5,3))</f>
      </c>
      <c r="FD29" s="594">
        <f t="shared" si="102"/>
      </c>
      <c r="FE29" s="165"/>
      <c r="FF29" s="166">
        <f t="shared" si="10"/>
      </c>
      <c r="FG29" s="593">
        <f t="shared" si="103"/>
        <v>0.023819444444444452</v>
      </c>
      <c r="FH29" s="594" t="str">
        <f t="shared" si="104"/>
        <v>n/a</v>
      </c>
      <c r="FI29" s="594">
        <f t="shared" si="105"/>
        <v>1.0734579718111104</v>
      </c>
      <c r="FJ29" s="165">
        <f t="shared" si="106"/>
        <v>0.0011909722222222226</v>
      </c>
      <c r="FK29" s="165" t="str">
        <f t="shared" si="107"/>
        <v>n/a</v>
      </c>
      <c r="FL29" s="165">
        <f t="shared" si="108"/>
        <v>0.015335113883015863</v>
      </c>
      <c r="FM29" s="167">
        <f t="shared" si="109"/>
        <v>0.016526086105238084</v>
      </c>
      <c r="FN29" s="165">
        <f t="shared" si="110"/>
        <v>0.00476388888888889</v>
      </c>
      <c r="FO29" s="165" t="str">
        <f t="shared" si="11"/>
        <v>n/a</v>
      </c>
      <c r="FP29" s="165">
        <f t="shared" si="111"/>
        <v>0.04293831887244441</v>
      </c>
      <c r="FQ29" s="168">
        <f t="shared" si="112"/>
        <v>0.0477022077613333</v>
      </c>
      <c r="FR29" s="185"/>
      <c r="FS29" s="165">
        <f t="shared" si="113"/>
        <v>0.0011909722222222226</v>
      </c>
      <c r="FT29" s="165" t="str">
        <f t="shared" si="114"/>
        <v>n/a</v>
      </c>
      <c r="FU29" s="165">
        <f t="shared" si="115"/>
        <v>0.010734579718111103</v>
      </c>
      <c r="FV29" s="596">
        <f>IF(SUM(FS29:FU29)&lt;$BZ$4,"",adjustparameter($AB29,0.01,SUM(FS29,FT29,FU29)/$AB29,$BZ$4))</f>
      </c>
      <c r="FW29" s="166">
        <f t="shared" si="116"/>
      </c>
      <c r="FX29" s="597">
        <f>IF($CK29="n/a","",IF(SUM(FS29:FU29)&lt;$BZ$4,"",adjustparameter($AO29,0.5*$AO29,SUM(SUM(FU29)*FV29/$AB29/$AO29),($BZ$4-SUM(FS29:FT29)*FV29/$AB29))))</f>
      </c>
      <c r="FY29" s="166">
        <f t="shared" si="117"/>
      </c>
      <c r="FZ29" s="165"/>
      <c r="GA29" s="166">
        <f t="shared" si="118"/>
      </c>
      <c r="GB29" s="165"/>
      <c r="GC29" s="166">
        <f t="shared" si="119"/>
      </c>
      <c r="GD29" s="595">
        <f t="shared" si="120"/>
      </c>
      <c r="GE29" s="165">
        <f>IF(GD29="","",VLOOKUP(GD29,Picklist!$C$2:$E$5,3))</f>
      </c>
      <c r="GF29" s="594">
        <f t="shared" si="121"/>
      </c>
      <c r="GG29" s="165"/>
      <c r="GH29" s="166">
        <f t="shared" si="12"/>
      </c>
      <c r="GI29" s="593">
        <f t="shared" si="122"/>
        <v>0.023819444444444452</v>
      </c>
      <c r="GJ29" s="594" t="str">
        <f t="shared" si="123"/>
        <v>n/a</v>
      </c>
      <c r="GK29" s="594">
        <f t="shared" si="124"/>
        <v>1.0734579718111104</v>
      </c>
      <c r="GL29" s="165">
        <f t="shared" si="125"/>
        <v>0.0011909722222222226</v>
      </c>
      <c r="GM29" s="165" t="str">
        <f t="shared" si="126"/>
        <v>n/a</v>
      </c>
      <c r="GN29" s="165">
        <f t="shared" si="127"/>
        <v>0.015335113883015863</v>
      </c>
      <c r="GO29" s="167">
        <f t="shared" si="128"/>
        <v>0.016526086105238084</v>
      </c>
      <c r="GP29" s="165">
        <f t="shared" si="129"/>
        <v>0.0011909722222222226</v>
      </c>
      <c r="GQ29" s="165" t="str">
        <f t="shared" si="13"/>
        <v>n/a</v>
      </c>
      <c r="GR29" s="165">
        <f t="shared" si="130"/>
        <v>0.010734579718111103</v>
      </c>
      <c r="GS29" s="170">
        <f t="shared" si="131"/>
        <v>0.011925551940333325</v>
      </c>
    </row>
    <row r="30" spans="1:201" s="139" customFormat="1" ht="76.5" customHeight="1">
      <c r="A30" s="144"/>
      <c r="B30" s="145"/>
      <c r="C30" s="172" t="s">
        <v>387</v>
      </c>
      <c r="D30" s="204" t="s">
        <v>484</v>
      </c>
      <c r="E30" s="216" t="s">
        <v>450</v>
      </c>
      <c r="F30" s="179">
        <v>1</v>
      </c>
      <c r="G30" s="121" t="s">
        <v>388</v>
      </c>
      <c r="H30" s="121"/>
      <c r="I30" s="121" t="s">
        <v>388</v>
      </c>
      <c r="J30" s="121" t="s">
        <v>139</v>
      </c>
      <c r="K30" s="121">
        <v>1</v>
      </c>
      <c r="L30" s="121">
        <v>857.5</v>
      </c>
      <c r="M30" s="121"/>
      <c r="N30" s="121">
        <v>25000</v>
      </c>
      <c r="O30" s="121">
        <v>20</v>
      </c>
      <c r="P30" s="176">
        <v>2</v>
      </c>
      <c r="Q30" s="151">
        <f t="shared" si="14"/>
        <v>142.91666666666669</v>
      </c>
      <c r="R30" s="132" t="str">
        <f t="shared" si="15"/>
        <v>n/a</v>
      </c>
      <c r="S30" s="143">
        <f t="shared" si="16"/>
        <v>57083.333333333336</v>
      </c>
      <c r="T30" s="143">
        <f t="shared" si="17"/>
        <v>1250000</v>
      </c>
      <c r="U30" s="143">
        <f t="shared" si="18"/>
        <v>1250000</v>
      </c>
      <c r="V30" s="152">
        <f t="shared" si="19"/>
        <v>57226.25</v>
      </c>
      <c r="W30" s="153">
        <f t="shared" si="20"/>
        <v>7.145833333333334</v>
      </c>
      <c r="X30" s="154" t="str">
        <f t="shared" si="21"/>
        <v>n/a</v>
      </c>
      <c r="Y30" s="154" t="str">
        <f t="shared" si="22"/>
        <v>n/a</v>
      </c>
      <c r="Z30" s="154">
        <f t="shared" si="23"/>
        <v>17857.14285714286</v>
      </c>
      <c r="AA30" s="155">
        <f t="shared" si="24"/>
        <v>17864.28869047619</v>
      </c>
      <c r="AB30" s="94">
        <v>0.02</v>
      </c>
      <c r="AC30" s="93" t="s">
        <v>442</v>
      </c>
      <c r="AD30" s="156">
        <v>0.2</v>
      </c>
      <c r="AE30" s="134" t="s">
        <v>639</v>
      </c>
      <c r="AF30" s="575">
        <v>857.5</v>
      </c>
      <c r="AG30" s="204" t="s">
        <v>515</v>
      </c>
      <c r="AH30" s="302"/>
      <c r="AI30" s="302"/>
      <c r="AJ30" s="303"/>
      <c r="AK30" s="303"/>
      <c r="AL30" s="204"/>
      <c r="AM30" s="87"/>
      <c r="AN30" s="120"/>
      <c r="AO30" s="91">
        <v>13800</v>
      </c>
      <c r="AP30" s="91" t="s">
        <v>587</v>
      </c>
      <c r="AQ30" s="87"/>
      <c r="AR30" s="91"/>
      <c r="AS30" s="118" t="s">
        <v>496</v>
      </c>
      <c r="AT30" s="120">
        <f t="shared" si="25"/>
        <v>0.6</v>
      </c>
      <c r="AU30" s="131" t="str">
        <f>IF(AND(AS30="outdoor",AT30=0.6),"est. conservative value for outdoor","RIVM  general fact sheet")</f>
        <v>RIVM  general fact sheet</v>
      </c>
      <c r="AV30" s="131">
        <f t="shared" si="26"/>
        <v>0.5823381567398316</v>
      </c>
      <c r="AW30" s="156">
        <f t="shared" si="133"/>
        <v>20</v>
      </c>
      <c r="AX30" s="156" t="str">
        <f>IF(AW30=20,"TRA default",IF(AW30=34,"RIVM general fact sheet",IF(AW30=100,"Stoffenmanager volume used for outdoors","")))</f>
        <v>TRA default</v>
      </c>
      <c r="AY30" s="121">
        <v>2</v>
      </c>
      <c r="AZ30" s="159" t="s">
        <v>515</v>
      </c>
      <c r="BA30" s="125">
        <f t="shared" si="0"/>
        <v>2.858333333333334</v>
      </c>
      <c r="BB30" s="125">
        <f t="shared" si="1"/>
        <v>0.5716666666666668</v>
      </c>
      <c r="BC30" s="120">
        <f t="shared" si="27"/>
        <v>0.2</v>
      </c>
      <c r="BD30" s="120" t="str">
        <f t="shared" si="2"/>
        <v>n/a</v>
      </c>
      <c r="BE30" s="120" t="str">
        <f t="shared" si="3"/>
        <v>n/a</v>
      </c>
      <c r="BF30" s="120">
        <f t="shared" si="4"/>
        <v>366.9895063774419</v>
      </c>
      <c r="BG30" s="120">
        <f t="shared" si="28"/>
        <v>8036.266563009675</v>
      </c>
      <c r="BH30" s="120">
        <f t="shared" si="29"/>
      </c>
      <c r="BI30" s="120">
        <f t="shared" si="5"/>
        <v>669.6888802508063</v>
      </c>
      <c r="BJ30" s="158">
        <f t="shared" si="30"/>
        <v>133.93777605016126</v>
      </c>
      <c r="BK30" s="159">
        <f t="shared" si="31"/>
        <v>369.84783971077525</v>
      </c>
      <c r="BL30" s="160" t="str">
        <f t="shared" si="32"/>
        <v>n/a</v>
      </c>
      <c r="BM30" s="161" t="str">
        <f t="shared" si="33"/>
        <v>n/a</v>
      </c>
      <c r="BN30" s="161">
        <f t="shared" si="34"/>
        <v>0.1429166666666667</v>
      </c>
      <c r="BO30" s="162" t="str">
        <f t="shared" si="35"/>
        <v>n/a</v>
      </c>
      <c r="BP30" s="161">
        <f t="shared" si="36"/>
        <v>9.566984003582947</v>
      </c>
      <c r="BQ30" s="162">
        <f t="shared" si="37"/>
        <v>9.709900670249613</v>
      </c>
      <c r="BR30" s="161">
        <f t="shared" si="38"/>
        <v>0.02858333333333334</v>
      </c>
      <c r="BS30" s="161" t="str">
        <f t="shared" si="39"/>
        <v>n/a</v>
      </c>
      <c r="BT30" s="161">
        <f t="shared" si="40"/>
        <v>1.9133968007165894</v>
      </c>
      <c r="BU30" s="161">
        <f t="shared" si="41"/>
        <v>1.9419801340499228</v>
      </c>
      <c r="BV30" s="163" t="str">
        <f t="shared" si="42"/>
        <v>Unless otherwise stated, covers concentrations up to 2% [ConsOC1]; covers use up to 51 days/year[ConsOC3]; covers use up to 1 time/on day of use[ConsOC4]; covers skin contact area up to 857,50 cm2 [ConsOC5]; for each use event, covers use amounts up to 13800g [ConsOC2]; covers use under typical household ventilation [ConsOC8]; covers use in room size of 20m3[ConsOC11]; for each use event, covers exposure up to 2,00hr/event[ConsOC14]; </v>
      </c>
      <c r="BW30" s="126" t="str">
        <f t="shared" si="43"/>
        <v>Avoid using at a product concentration greater than 1% [ConsRMM1]; For each use event, avoid using a product amount greater than 6900g [ConsRMM2]; Avoid using when windows closed [ConsRMM8]; </v>
      </c>
      <c r="BX30" s="125" t="str">
        <f t="shared" si="44"/>
        <v>Based upon infrequent use + RMM</v>
      </c>
      <c r="BY30" s="120">
        <f t="shared" si="45"/>
        <v>0.01429166666666667</v>
      </c>
      <c r="BZ30" s="120" t="str">
        <f t="shared" si="46"/>
        <v>n/a</v>
      </c>
      <c r="CA30" s="120">
        <f t="shared" si="47"/>
        <v>0.16317876585015023</v>
      </c>
      <c r="CB30" s="164">
        <f t="shared" si="48"/>
        <v>0.1774704325168169</v>
      </c>
      <c r="CC30" s="120">
        <f t="shared" si="49"/>
        <v>0.2858333333333334</v>
      </c>
      <c r="CD30" s="120" t="str">
        <f t="shared" si="50"/>
        <v>n/a</v>
      </c>
      <c r="CE30" s="159">
        <f t="shared" si="51"/>
        <v>11.422513609510515</v>
      </c>
      <c r="CF30" s="138"/>
      <c r="CG30" s="145" t="str">
        <f t="shared" si="135"/>
        <v>PC9b:Fillers, putties, plasters, modeling clay</v>
      </c>
      <c r="CH30" s="118" t="str">
        <f t="shared" si="136"/>
        <v>Plasters and floor equalizers</v>
      </c>
      <c r="CI30" s="120">
        <f t="shared" si="52"/>
        <v>0.5716666666666668</v>
      </c>
      <c r="CJ30" s="120" t="str">
        <f t="shared" si="53"/>
        <v>n/a</v>
      </c>
      <c r="CK30" s="120">
        <f t="shared" si="54"/>
        <v>133.93777605016126</v>
      </c>
      <c r="CL30" s="165"/>
      <c r="CM30" s="165">
        <f t="shared" si="55"/>
        <v>5.716666666666668</v>
      </c>
      <c r="CN30" s="165" t="str">
        <f t="shared" si="56"/>
        <v>n/a</v>
      </c>
      <c r="CO30" s="165">
        <f t="shared" si="57"/>
        <v>267.8755521003225</v>
      </c>
      <c r="CP30" s="598">
        <f>IF(SUM(CM30:CO30)&lt;$BZ$4,"",adjustparameter($AB30,0.01,SUM(CM30,CN30,CO30)/$AB30,$BZ$4))</f>
        <v>0.01</v>
      </c>
      <c r="CQ30" s="166">
        <f t="shared" si="58"/>
        <v>0.5</v>
      </c>
      <c r="CR30" s="599">
        <f>IF($CK30="n/a","",IF(SUM(CM30:CO30)&lt;$BZ$4,"",adjustparameter($AO30,0.5*$AO30,SUM(SUM(CO30)*CP30/$AB30/$AO30),($BZ$4-SUM(CM30:CN30)*CP30/$AB30))))</f>
        <v>6900</v>
      </c>
      <c r="CS30" s="166">
        <f t="shared" si="59"/>
        <v>0.5</v>
      </c>
      <c r="CT30" s="165"/>
      <c r="CU30" s="166">
        <f t="shared" si="60"/>
      </c>
      <c r="CV30" s="124"/>
      <c r="CW30" s="166">
        <f t="shared" si="61"/>
      </c>
      <c r="CX30" s="595" t="str">
        <f t="shared" si="62"/>
        <v>indoor, ventilation</v>
      </c>
      <c r="CY30" s="165">
        <f>IF(CX30="","",VLOOKUP(CX30,Picklist!$C$2:$E$5,3))</f>
        <v>2.5</v>
      </c>
      <c r="CZ30" s="594">
        <f t="shared" si="63"/>
        <v>0.6588710385863761</v>
      </c>
      <c r="DA30" s="165"/>
      <c r="DB30" s="166">
        <f t="shared" si="64"/>
      </c>
      <c r="DC30" s="165">
        <f t="shared" si="65"/>
        <v>0.2858333333333334</v>
      </c>
      <c r="DD30" s="165" t="str">
        <f t="shared" si="66"/>
        <v>n/a</v>
      </c>
      <c r="DE30" s="165">
        <f t="shared" si="67"/>
        <v>11.422513609510515</v>
      </c>
      <c r="DF30" s="165">
        <f t="shared" si="68"/>
        <v>0.01429166666666667</v>
      </c>
      <c r="DG30" s="165" t="str">
        <f t="shared" si="69"/>
        <v>n/a</v>
      </c>
      <c r="DH30" s="165">
        <f t="shared" si="70"/>
        <v>0.16317876585015023</v>
      </c>
      <c r="DI30" s="167">
        <f t="shared" si="71"/>
        <v>0.1774704325168169</v>
      </c>
      <c r="DJ30" s="165">
        <f t="shared" si="72"/>
        <v>2.858333333333334</v>
      </c>
      <c r="DK30" s="165" t="str">
        <f t="shared" si="7"/>
        <v>n/a</v>
      </c>
      <c r="DL30" s="165">
        <f t="shared" si="73"/>
        <v>22.845027219021034</v>
      </c>
      <c r="DM30" s="168">
        <f t="shared" si="74"/>
        <v>25.70336055235437</v>
      </c>
      <c r="DN30" s="185"/>
      <c r="DO30" s="165">
        <f t="shared" si="75"/>
        <v>0.5716666666666668</v>
      </c>
      <c r="DP30" s="165" t="str">
        <f t="shared" si="76"/>
        <v>n/a</v>
      </c>
      <c r="DQ30" s="165">
        <f t="shared" si="77"/>
        <v>26.787555210032252</v>
      </c>
      <c r="DR30" s="598">
        <f>IF(SUM(DO30:DQ30)&lt;$BZ$4,"",adjustparameter($AB30,0.01,SUM(DO30,DP30,DQ30)/$AB30,$BZ$4))</f>
        <v>0.01</v>
      </c>
      <c r="DS30" s="166">
        <f t="shared" si="78"/>
        <v>0.5</v>
      </c>
      <c r="DT30" s="597">
        <f>IF($CK30="n/a","",IF(SUM(DO30:DQ30)&lt;$BZ$4,"",adjustparameter($AO30,0.5*$AO30,SUM(SUM(DQ30)*DR30/$AB30/$AO30),($BZ$4-SUM(DO30:DP30)*DR30/$AB30))))</f>
        <v>6900</v>
      </c>
      <c r="DU30" s="166">
        <f t="shared" si="8"/>
        <v>0.5</v>
      </c>
      <c r="DV30" s="165"/>
      <c r="DW30" s="166">
        <f t="shared" si="79"/>
      </c>
      <c r="DX30" s="165"/>
      <c r="DY30" s="166">
        <f t="shared" si="80"/>
      </c>
      <c r="DZ30" s="595" t="str">
        <f t="shared" si="81"/>
        <v>indoor, ventilation</v>
      </c>
      <c r="EA30" s="165">
        <f>IF(DZ30="","",VLOOKUP(DZ30,Picklist!$C$2:$E$5,3))</f>
        <v>2.5</v>
      </c>
      <c r="EB30" s="594">
        <f t="shared" si="82"/>
        <v>0.6588710385863761</v>
      </c>
      <c r="EC30" s="165"/>
      <c r="ED30" s="166">
        <f t="shared" si="83"/>
      </c>
      <c r="EE30" s="593">
        <f t="shared" si="84"/>
        <v>0.2858333333333334</v>
      </c>
      <c r="EF30" s="594" t="str">
        <f t="shared" si="85"/>
        <v>n/a</v>
      </c>
      <c r="EG30" s="594">
        <f t="shared" si="86"/>
        <v>11.422513609510515</v>
      </c>
      <c r="EH30" s="165">
        <f t="shared" si="87"/>
        <v>0.01429166666666667</v>
      </c>
      <c r="EI30" s="165" t="str">
        <f t="shared" si="88"/>
        <v>n/a</v>
      </c>
      <c r="EJ30" s="165">
        <f t="shared" si="89"/>
        <v>0.16317876585015023</v>
      </c>
      <c r="EK30" s="167">
        <f t="shared" si="90"/>
        <v>0.1774704325168169</v>
      </c>
      <c r="EL30" s="165">
        <f t="shared" si="91"/>
        <v>0.2858333333333334</v>
      </c>
      <c r="EM30" s="165" t="str">
        <f t="shared" si="9"/>
        <v>n/a</v>
      </c>
      <c r="EN30" s="165">
        <f t="shared" si="92"/>
        <v>2.2845027219021037</v>
      </c>
      <c r="EO30" s="168">
        <f t="shared" si="93"/>
        <v>2.570336055235437</v>
      </c>
      <c r="EP30" s="185"/>
      <c r="EQ30" s="165">
        <f t="shared" si="94"/>
        <v>0.11433333333333336</v>
      </c>
      <c r="ER30" s="165" t="str">
        <f t="shared" si="95"/>
        <v>n/a</v>
      </c>
      <c r="ES30" s="165">
        <f t="shared" si="96"/>
        <v>5.3575110420064505</v>
      </c>
      <c r="ET30" s="596">
        <f>IF(SUM(EQ30:ES30)&lt;$BZ$4,"",adjustparameter($AB30,0.01,SUM(EQ30,ER30,ES30)/$AB30,$BZ$4))</f>
        <v>0.01</v>
      </c>
      <c r="EU30" s="166">
        <f t="shared" si="97"/>
        <v>0.5</v>
      </c>
      <c r="EV30" s="597">
        <f>IF($CK30="n/a","",IF(SUM(EQ30:ES30)&lt;$BZ$4,"",adjustparameter($AO30,0.5*$AO30,SUM(SUM(ES30)*ET30/$AB30/$AO30),($BZ$4-SUM(EQ30:ER30)*ET30/$AB30))))</f>
        <v>6900</v>
      </c>
      <c r="EW30" s="166">
        <f t="shared" si="98"/>
        <v>0.5</v>
      </c>
      <c r="EX30" s="165"/>
      <c r="EY30" s="166">
        <f t="shared" si="99"/>
      </c>
      <c r="EZ30" s="217"/>
      <c r="FA30" s="166">
        <f t="shared" si="100"/>
      </c>
      <c r="FB30" s="595" t="str">
        <f t="shared" si="101"/>
        <v>indoor, ventilation</v>
      </c>
      <c r="FC30" s="165">
        <f>IF(FB30="","",VLOOKUP(FB30,Picklist!$C$2:$E$5,3))</f>
        <v>2.5</v>
      </c>
      <c r="FD30" s="594">
        <f t="shared" si="102"/>
        <v>0.6588710385863761</v>
      </c>
      <c r="FE30" s="165"/>
      <c r="FF30" s="166">
        <f t="shared" si="10"/>
      </c>
      <c r="FG30" s="593">
        <f t="shared" si="103"/>
        <v>0.2858333333333334</v>
      </c>
      <c r="FH30" s="594" t="str">
        <f t="shared" si="104"/>
        <v>n/a</v>
      </c>
      <c r="FI30" s="594">
        <f t="shared" si="105"/>
        <v>11.422513609510515</v>
      </c>
      <c r="FJ30" s="165">
        <f t="shared" si="106"/>
        <v>0.01429166666666667</v>
      </c>
      <c r="FK30" s="165" t="str">
        <f t="shared" si="107"/>
        <v>n/a</v>
      </c>
      <c r="FL30" s="165">
        <f t="shared" si="108"/>
        <v>0.16317876585015023</v>
      </c>
      <c r="FM30" s="167">
        <f t="shared" si="109"/>
        <v>0.1774704325168169</v>
      </c>
      <c r="FN30" s="165">
        <f t="shared" si="110"/>
        <v>0.05716666666666668</v>
      </c>
      <c r="FO30" s="165" t="str">
        <f t="shared" si="11"/>
        <v>n/a</v>
      </c>
      <c r="FP30" s="165">
        <f t="shared" si="111"/>
        <v>0.4569005443804207</v>
      </c>
      <c r="FQ30" s="168">
        <f t="shared" si="112"/>
        <v>0.5140672110470874</v>
      </c>
      <c r="FR30" s="185"/>
      <c r="FS30" s="165">
        <f t="shared" si="113"/>
        <v>0.02858333333333334</v>
      </c>
      <c r="FT30" s="165" t="str">
        <f t="shared" si="114"/>
        <v>n/a</v>
      </c>
      <c r="FU30" s="165">
        <f t="shared" si="115"/>
        <v>1.3393777605016126</v>
      </c>
      <c r="FV30" s="596">
        <f>IF(SUM(FS30:FU30)&lt;$BZ$4,"",adjustparameter($AB30,0.01,SUM(FS30,FT30,FU30)/$AB30,$BZ$4))</f>
        <v>0.013158268960368417</v>
      </c>
      <c r="FW30" s="166">
        <f t="shared" si="116"/>
        <v>0.3420865519815791</v>
      </c>
      <c r="FX30" s="597">
        <f>IF($CK30="n/a","",IF(SUM(FS30:FU30)&lt;$BZ$4,"",adjustparameter($AO30,0.5*$AO30,SUM(SUM(FU30)*FV30/$AB30/$AO30),($BZ$4-SUM(FS30:FT30)*FV30/$AB30))))</f>
      </c>
      <c r="FY30" s="166">
        <f t="shared" si="117"/>
      </c>
      <c r="FZ30" s="165"/>
      <c r="GA30" s="166">
        <f t="shared" si="118"/>
      </c>
      <c r="GB30" s="165"/>
      <c r="GC30" s="166">
        <f t="shared" si="119"/>
      </c>
      <c r="GD30" s="595">
        <f t="shared" si="120"/>
      </c>
      <c r="GE30" s="165">
        <f>IF(GD30="","",VLOOKUP(GD30,Picklist!$C$2:$E$5,3))</f>
      </c>
      <c r="GF30" s="594">
        <f t="shared" si="121"/>
      </c>
      <c r="GG30" s="165"/>
      <c r="GH30" s="166">
        <f t="shared" si="12"/>
      </c>
      <c r="GI30" s="593">
        <f t="shared" si="122"/>
        <v>0.376107187783864</v>
      </c>
      <c r="GJ30" s="594" t="str">
        <f t="shared" si="123"/>
        <v>n/a</v>
      </c>
      <c r="GK30" s="594">
        <f t="shared" si="124"/>
        <v>88.11946406108066</v>
      </c>
      <c r="GL30" s="165">
        <f t="shared" si="125"/>
        <v>0.0188053593891932</v>
      </c>
      <c r="GM30" s="165" t="str">
        <f t="shared" si="126"/>
        <v>n/a</v>
      </c>
      <c r="GN30" s="165">
        <f t="shared" si="127"/>
        <v>1.2588494865868667</v>
      </c>
      <c r="GO30" s="167">
        <f t="shared" si="128"/>
        <v>1.27765484597606</v>
      </c>
      <c r="GP30" s="165">
        <f t="shared" si="129"/>
        <v>0.0188053593891932</v>
      </c>
      <c r="GQ30" s="165" t="str">
        <f t="shared" si="13"/>
        <v>n/a</v>
      </c>
      <c r="GR30" s="165">
        <f t="shared" si="130"/>
        <v>0.8811946406108067</v>
      </c>
      <c r="GS30" s="170">
        <f t="shared" si="131"/>
        <v>0.8999999999999999</v>
      </c>
    </row>
    <row r="31" spans="1:201" s="139" customFormat="1" ht="78.75">
      <c r="A31" s="144"/>
      <c r="B31" s="145"/>
      <c r="C31" s="172" t="s">
        <v>387</v>
      </c>
      <c r="D31" s="204" t="s">
        <v>484</v>
      </c>
      <c r="E31" s="216" t="s">
        <v>449</v>
      </c>
      <c r="F31" s="179">
        <v>0.1</v>
      </c>
      <c r="G31" s="121" t="s">
        <v>458</v>
      </c>
      <c r="H31" s="121" t="s">
        <v>458</v>
      </c>
      <c r="I31" s="121"/>
      <c r="J31" s="121" t="s">
        <v>139</v>
      </c>
      <c r="K31" s="121">
        <v>1</v>
      </c>
      <c r="L31" s="121">
        <v>254.4</v>
      </c>
      <c r="M31" s="121">
        <v>1</v>
      </c>
      <c r="N31" s="121"/>
      <c r="O31" s="121">
        <v>20</v>
      </c>
      <c r="P31" s="176"/>
      <c r="Q31" s="151">
        <f t="shared" si="14"/>
        <v>25.44</v>
      </c>
      <c r="R31" s="132">
        <f t="shared" si="15"/>
        <v>10</v>
      </c>
      <c r="S31" s="143" t="str">
        <f t="shared" si="16"/>
        <v>n/a</v>
      </c>
      <c r="T31" s="143" t="str">
        <f t="shared" si="17"/>
        <v>n/a</v>
      </c>
      <c r="U31" s="143" t="str">
        <f t="shared" si="18"/>
        <v>n/a</v>
      </c>
      <c r="V31" s="152">
        <f t="shared" si="19"/>
        <v>35.44</v>
      </c>
      <c r="W31" s="153">
        <f t="shared" si="20"/>
        <v>1.272</v>
      </c>
      <c r="X31" s="154">
        <f t="shared" si="21"/>
        <v>0.5</v>
      </c>
      <c r="Y31" s="154" t="str">
        <f t="shared" si="22"/>
        <v>n/a</v>
      </c>
      <c r="Z31" s="154" t="str">
        <f t="shared" si="23"/>
        <v>n/a</v>
      </c>
      <c r="AA31" s="155">
        <f t="shared" si="24"/>
        <v>1.772</v>
      </c>
      <c r="AB31" s="96">
        <v>0.01</v>
      </c>
      <c r="AC31" s="89" t="s">
        <v>29</v>
      </c>
      <c r="AD31" s="608">
        <v>1</v>
      </c>
      <c r="AE31" s="134" t="s">
        <v>636</v>
      </c>
      <c r="AF31" s="92">
        <v>254.4</v>
      </c>
      <c r="AG31" s="204" t="s">
        <v>515</v>
      </c>
      <c r="AH31" s="302"/>
      <c r="AI31" s="302"/>
      <c r="AJ31" s="303"/>
      <c r="AK31" s="303"/>
      <c r="AL31" s="204"/>
      <c r="AM31" s="92">
        <v>1</v>
      </c>
      <c r="AN31" s="120" t="s">
        <v>515</v>
      </c>
      <c r="AO31" s="91"/>
      <c r="AP31" s="91"/>
      <c r="AQ31" s="87"/>
      <c r="AR31" s="91"/>
      <c r="AS31" s="118"/>
      <c r="AT31" s="120">
        <f t="shared" si="25"/>
      </c>
      <c r="AU31" s="131"/>
      <c r="AV31" s="131">
        <f t="shared" si="26"/>
      </c>
      <c r="AW31" s="156"/>
      <c r="AX31" s="219"/>
      <c r="AY31" s="164"/>
      <c r="AZ31" s="159"/>
      <c r="BA31" s="125">
        <f t="shared" si="0"/>
        <v>2.544</v>
      </c>
      <c r="BB31" s="125">
        <f t="shared" si="1"/>
        <v>2.544</v>
      </c>
      <c r="BC31" s="120">
        <f t="shared" si="27"/>
        <v>0.1</v>
      </c>
      <c r="BD31" s="120">
        <f t="shared" si="2"/>
        <v>0.9999999999999999</v>
      </c>
      <c r="BE31" s="120">
        <f t="shared" si="3"/>
        <v>0.9999999999999999</v>
      </c>
      <c r="BF31" s="120" t="str">
        <f t="shared" si="4"/>
        <v>n/a</v>
      </c>
      <c r="BG31" s="120" t="str">
        <f t="shared" si="28"/>
        <v>n/a</v>
      </c>
      <c r="BH31" s="120">
        <f t="shared" si="29"/>
      </c>
      <c r="BI31" s="120" t="str">
        <f t="shared" si="5"/>
        <v>n/a</v>
      </c>
      <c r="BJ31" s="158" t="str">
        <f t="shared" si="30"/>
        <v>n/a</v>
      </c>
      <c r="BK31" s="159">
        <f t="shared" si="31"/>
        <v>3.544</v>
      </c>
      <c r="BL31" s="160" t="str">
        <f t="shared" si="32"/>
        <v>n/a</v>
      </c>
      <c r="BM31" s="161" t="str">
        <f t="shared" si="33"/>
        <v>n/a</v>
      </c>
      <c r="BN31" s="161">
        <f t="shared" si="34"/>
        <v>0.1272</v>
      </c>
      <c r="BO31" s="162">
        <f t="shared" si="35"/>
        <v>0.049999999999999996</v>
      </c>
      <c r="BP31" s="161" t="str">
        <f t="shared" si="36"/>
        <v>n/a</v>
      </c>
      <c r="BQ31" s="162">
        <f t="shared" si="37"/>
        <v>0.1772</v>
      </c>
      <c r="BR31" s="161">
        <f t="shared" si="38"/>
        <v>0.1272</v>
      </c>
      <c r="BS31" s="161">
        <f t="shared" si="39"/>
        <v>0.049999999999999996</v>
      </c>
      <c r="BT31" s="161" t="str">
        <f t="shared" si="40"/>
        <v>n/a</v>
      </c>
      <c r="BU31" s="161">
        <f t="shared" si="41"/>
        <v>0.1772</v>
      </c>
      <c r="BV31" s="163" t="str">
        <f t="shared" si="42"/>
        <v>Unless otherwise stated, covers concentrations up to 1% [ConsOC1]; covers use up to 364 days/year[ConsOC3]; covers use up to 1 time/on day of use[ConsOC4]; covers skin contact area up to 254,40 cm2 [ConsOC5]; for each use event, assumes swallowed amount of 1g [ConsOC13]; </v>
      </c>
      <c r="BW31" s="126" t="str">
        <f t="shared" si="43"/>
        <v>No specific RMMs identified beyond those OCs stated</v>
      </c>
      <c r="BX31" s="125" t="str">
        <f t="shared" si="44"/>
        <v>Based upon daily use</v>
      </c>
      <c r="BY31" s="120">
        <f t="shared" si="45"/>
        <v>0.1272</v>
      </c>
      <c r="BZ31" s="120">
        <f t="shared" si="46"/>
        <v>0.049999999999999996</v>
      </c>
      <c r="CA31" s="120" t="str">
        <f t="shared" si="47"/>
        <v>n/a</v>
      </c>
      <c r="CB31" s="164">
        <f t="shared" si="48"/>
        <v>0.1772</v>
      </c>
      <c r="CC31" s="120">
        <f t="shared" si="49"/>
        <v>2.544</v>
      </c>
      <c r="CD31" s="120">
        <f t="shared" si="50"/>
        <v>0.9999999999999999</v>
      </c>
      <c r="CE31" s="159" t="str">
        <f t="shared" si="51"/>
        <v>n/a</v>
      </c>
      <c r="CF31" s="138"/>
      <c r="CG31" s="145" t="str">
        <f t="shared" si="135"/>
        <v>PC9b:Fillers, putties, plasters, modeling clay</v>
      </c>
      <c r="CH31" s="118" t="str">
        <f t="shared" si="136"/>
        <v>Modelling clay</v>
      </c>
      <c r="CI31" s="120">
        <f t="shared" si="52"/>
        <v>2.544</v>
      </c>
      <c r="CJ31" s="120">
        <f t="shared" si="53"/>
        <v>0.9999999999999999</v>
      </c>
      <c r="CK31" s="120" t="str">
        <f t="shared" si="54"/>
        <v>n/a</v>
      </c>
      <c r="CL31" s="165"/>
      <c r="CM31" s="165">
        <f t="shared" si="55"/>
        <v>25.439999999999998</v>
      </c>
      <c r="CN31" s="165">
        <f t="shared" si="56"/>
        <v>9.999999999999998</v>
      </c>
      <c r="CO31" s="165" t="str">
        <f t="shared" si="57"/>
        <v>n/a</v>
      </c>
      <c r="CP31" s="598">
        <f>IF(SUM(CM31:CO31)&lt;$BZ$4,"",adjustparameter($AB31,0.01,SUM(CM31,CN31,CO31)/$AB31,$BZ$4))</f>
        <v>0.01</v>
      </c>
      <c r="CQ31" s="166">
        <f t="shared" si="58"/>
        <v>0</v>
      </c>
      <c r="CR31" s="599">
        <f>IF($CK31="n/a","",IF(SUM(CM31:CO31)&lt;$BZ$4,"",adjustparameter($AO31,0.5*$AO31,SUM(SUM(CO31)*CP31/$AB31/$AO31),($BZ$4-SUM(CM31:CN31)*CP31/$AB31))))</f>
      </c>
      <c r="CS31" s="166">
        <f t="shared" si="59"/>
      </c>
      <c r="CT31" s="165"/>
      <c r="CU31" s="166">
        <f t="shared" si="60"/>
      </c>
      <c r="CV31" s="124"/>
      <c r="CW31" s="166">
        <f t="shared" si="61"/>
      </c>
      <c r="CX31" s="595">
        <f t="shared" si="62"/>
      </c>
      <c r="CY31" s="165">
        <f>IF(CX31="","",VLOOKUP(CX31,Picklist!$C$2:$E$5,3))</f>
      </c>
      <c r="CZ31" s="594">
        <f t="shared" si="63"/>
      </c>
      <c r="DA31" s="165"/>
      <c r="DB31" s="166">
        <f t="shared" si="64"/>
      </c>
      <c r="DC31" s="165">
        <f t="shared" si="65"/>
        <v>2.544</v>
      </c>
      <c r="DD31" s="165">
        <f t="shared" si="66"/>
        <v>0.9999999999999999</v>
      </c>
      <c r="DE31" s="165" t="str">
        <f t="shared" si="67"/>
        <v>n/a</v>
      </c>
      <c r="DF31" s="165">
        <f t="shared" si="68"/>
        <v>0.1272</v>
      </c>
      <c r="DG31" s="165">
        <f t="shared" si="69"/>
        <v>0.049999999999999996</v>
      </c>
      <c r="DH31" s="165" t="str">
        <f t="shared" si="70"/>
        <v>n/a</v>
      </c>
      <c r="DI31" s="167">
        <f t="shared" si="71"/>
        <v>0.1772</v>
      </c>
      <c r="DJ31" s="165">
        <f t="shared" si="72"/>
        <v>25.439999999999998</v>
      </c>
      <c r="DK31" s="165">
        <f t="shared" si="7"/>
        <v>9.999999999999998</v>
      </c>
      <c r="DL31" s="165" t="str">
        <f t="shared" si="73"/>
        <v>n/a</v>
      </c>
      <c r="DM31" s="168">
        <f t="shared" si="74"/>
        <v>35.44</v>
      </c>
      <c r="DN31" s="185"/>
      <c r="DO31" s="165">
        <f t="shared" si="75"/>
        <v>2.544</v>
      </c>
      <c r="DP31" s="165">
        <f t="shared" si="76"/>
        <v>0.9999999999999999</v>
      </c>
      <c r="DQ31" s="165" t="str">
        <f t="shared" si="77"/>
        <v>n/a</v>
      </c>
      <c r="DR31" s="598">
        <f>IF(SUM(DO31:DQ31)&lt;$BZ$4,"",adjustparameter($AB31,0.01,SUM(DO31,DP31,DQ31)/$AB31,$BZ$4))</f>
        <v>0.01</v>
      </c>
      <c r="DS31" s="166">
        <f t="shared" si="78"/>
        <v>0</v>
      </c>
      <c r="DT31" s="597">
        <f>IF($CK31="n/a","",IF(SUM(DO31:DQ31)&lt;$BZ$4,"",adjustparameter($AO31,0.5*$AO31,SUM(SUM(DQ31)*DR31/$AB31/$AO31),($BZ$4-SUM(DO31:DP31)*DR31/$AB31))))</f>
      </c>
      <c r="DU31" s="166">
        <f t="shared" si="8"/>
      </c>
      <c r="DV31" s="165"/>
      <c r="DW31" s="166">
        <f t="shared" si="79"/>
      </c>
      <c r="DX31" s="123"/>
      <c r="DY31" s="166">
        <f t="shared" si="80"/>
      </c>
      <c r="DZ31" s="595">
        <f t="shared" si="81"/>
      </c>
      <c r="EA31" s="165">
        <f>IF(DZ31="","",VLOOKUP(DZ31,Picklist!$C$2:$E$5,3))</f>
      </c>
      <c r="EB31" s="594">
        <f t="shared" si="82"/>
      </c>
      <c r="EC31" s="165"/>
      <c r="ED31" s="166">
        <f t="shared" si="83"/>
      </c>
      <c r="EE31" s="593">
        <f t="shared" si="84"/>
        <v>2.544</v>
      </c>
      <c r="EF31" s="594">
        <f t="shared" si="85"/>
        <v>0.9999999999999999</v>
      </c>
      <c r="EG31" s="594" t="str">
        <f t="shared" si="86"/>
        <v>n/a</v>
      </c>
      <c r="EH31" s="165">
        <f t="shared" si="87"/>
        <v>0.1272</v>
      </c>
      <c r="EI31" s="165">
        <f t="shared" si="88"/>
        <v>0.049999999999999996</v>
      </c>
      <c r="EJ31" s="165" t="str">
        <f t="shared" si="89"/>
        <v>n/a</v>
      </c>
      <c r="EK31" s="167">
        <f t="shared" si="90"/>
        <v>0.1772</v>
      </c>
      <c r="EL31" s="165">
        <f t="shared" si="91"/>
        <v>2.544</v>
      </c>
      <c r="EM31" s="165">
        <f t="shared" si="9"/>
        <v>0.9999999999999999</v>
      </c>
      <c r="EN31" s="165" t="str">
        <f t="shared" si="92"/>
        <v>n/a</v>
      </c>
      <c r="EO31" s="168">
        <f t="shared" si="93"/>
        <v>3.544</v>
      </c>
      <c r="EP31" s="185"/>
      <c r="EQ31" s="165">
        <f t="shared" si="94"/>
        <v>0.5088</v>
      </c>
      <c r="ER31" s="165">
        <f t="shared" si="95"/>
        <v>0.19999999999999998</v>
      </c>
      <c r="ES31" s="165" t="str">
        <f t="shared" si="96"/>
        <v>n/a</v>
      </c>
      <c r="ET31" s="596">
        <f>IF(SUM(EQ31:ES31)&lt;$BZ$4,"",adjustparameter($AB31,0.01,SUM(EQ31,ER31,ES31)/$AB31,$BZ$4))</f>
      </c>
      <c r="EU31" s="166">
        <f t="shared" si="97"/>
      </c>
      <c r="EV31" s="597">
        <f>IF($CK31="n/a","",IF(SUM(EQ31:ES31)&lt;$BZ$4,"",adjustparameter($AO31,0.5*$AO31,SUM(SUM(ES31)*ET31/$AB31/$AO31),($BZ$4-SUM(EQ31:ER31)*ET31/$AB31))))</f>
      </c>
      <c r="EW31" s="166">
        <f t="shared" si="98"/>
      </c>
      <c r="EX31" s="165"/>
      <c r="EY31" s="166">
        <f t="shared" si="99"/>
      </c>
      <c r="EZ31" s="123"/>
      <c r="FA31" s="166">
        <f t="shared" si="100"/>
      </c>
      <c r="FB31" s="595">
        <f t="shared" si="101"/>
      </c>
      <c r="FC31" s="165">
        <f>IF(FB31="","",VLOOKUP(FB31,Picklist!$C$2:$E$5,3))</f>
      </c>
      <c r="FD31" s="594">
        <f t="shared" si="102"/>
      </c>
      <c r="FE31" s="165"/>
      <c r="FF31" s="166">
        <f t="shared" si="10"/>
      </c>
      <c r="FG31" s="593">
        <f t="shared" si="103"/>
        <v>2.544</v>
      </c>
      <c r="FH31" s="594">
        <f t="shared" si="104"/>
        <v>0.9999999999999999</v>
      </c>
      <c r="FI31" s="594" t="str">
        <f t="shared" si="105"/>
        <v>n/a</v>
      </c>
      <c r="FJ31" s="165">
        <f t="shared" si="106"/>
        <v>0.1272</v>
      </c>
      <c r="FK31" s="165">
        <f t="shared" si="107"/>
        <v>0.049999999999999996</v>
      </c>
      <c r="FL31" s="165" t="str">
        <f t="shared" si="108"/>
        <v>n/a</v>
      </c>
      <c r="FM31" s="167">
        <f t="shared" si="109"/>
        <v>0.1772</v>
      </c>
      <c r="FN31" s="165">
        <f t="shared" si="110"/>
        <v>0.5088</v>
      </c>
      <c r="FO31" s="165">
        <f t="shared" si="11"/>
        <v>0.19999999999999998</v>
      </c>
      <c r="FP31" s="165" t="str">
        <f t="shared" si="111"/>
        <v>n/a</v>
      </c>
      <c r="FQ31" s="168">
        <f t="shared" si="112"/>
        <v>0.7088</v>
      </c>
      <c r="FR31" s="185"/>
      <c r="FS31" s="165">
        <f t="shared" si="113"/>
        <v>0.1272</v>
      </c>
      <c r="FT31" s="165">
        <f t="shared" si="114"/>
        <v>0.049999999999999996</v>
      </c>
      <c r="FU31" s="165" t="str">
        <f t="shared" si="115"/>
        <v>n/a</v>
      </c>
      <c r="FV31" s="596">
        <f>IF(SUM(FS31:FU31)&lt;$BZ$4,"",adjustparameter($AB31,0.01,SUM(FS31,FT31,FU31)/$AB31,$BZ$4))</f>
      </c>
      <c r="FW31" s="166">
        <f t="shared" si="116"/>
      </c>
      <c r="FX31" s="597">
        <f>IF($CK31="n/a","",IF(SUM(FS31:FU31)&lt;$BZ$4,"",adjustparameter($AO31,0.5*$AO31,SUM(SUM(FU31)*FV31/$AB31/$AO31),($BZ$4-SUM(FS31:FT31)*FV31/$AB31))))</f>
      </c>
      <c r="FY31" s="166">
        <f t="shared" si="117"/>
      </c>
      <c r="FZ31" s="165"/>
      <c r="GA31" s="166">
        <f t="shared" si="118"/>
      </c>
      <c r="GB31" s="123"/>
      <c r="GC31" s="166">
        <f t="shared" si="119"/>
      </c>
      <c r="GD31" s="595">
        <f t="shared" si="120"/>
      </c>
      <c r="GE31" s="165">
        <f>IF(GD31="","",VLOOKUP(GD31,Picklist!$C$2:$E$5,3))</f>
      </c>
      <c r="GF31" s="594">
        <f t="shared" si="121"/>
      </c>
      <c r="GG31" s="165"/>
      <c r="GH31" s="166">
        <f t="shared" si="12"/>
      </c>
      <c r="GI31" s="593">
        <f t="shared" si="122"/>
        <v>2.544</v>
      </c>
      <c r="GJ31" s="594">
        <f t="shared" si="123"/>
        <v>0.9999999999999999</v>
      </c>
      <c r="GK31" s="594" t="str">
        <f t="shared" si="124"/>
        <v>n/a</v>
      </c>
      <c r="GL31" s="165">
        <f t="shared" si="125"/>
        <v>0.1272</v>
      </c>
      <c r="GM31" s="165">
        <f t="shared" si="126"/>
        <v>0.049999999999999996</v>
      </c>
      <c r="GN31" s="165" t="str">
        <f t="shared" si="127"/>
        <v>n/a</v>
      </c>
      <c r="GO31" s="167">
        <f t="shared" si="128"/>
        <v>0.1772</v>
      </c>
      <c r="GP31" s="165">
        <f t="shared" si="129"/>
        <v>0.1272</v>
      </c>
      <c r="GQ31" s="165">
        <f t="shared" si="13"/>
        <v>0.049999999999999996</v>
      </c>
      <c r="GR31" s="165" t="str">
        <f t="shared" si="130"/>
        <v>n/a</v>
      </c>
      <c r="GS31" s="170">
        <f t="shared" si="131"/>
        <v>0.1772</v>
      </c>
    </row>
    <row r="32" spans="1:201" s="139" customFormat="1" ht="74.25" customHeight="1">
      <c r="A32" s="144"/>
      <c r="B32" s="145"/>
      <c r="C32" s="172" t="s">
        <v>387</v>
      </c>
      <c r="D32" s="204" t="s">
        <v>485</v>
      </c>
      <c r="E32" s="220" t="s">
        <v>488</v>
      </c>
      <c r="F32" s="179">
        <v>0.5</v>
      </c>
      <c r="G32" s="121" t="s">
        <v>458</v>
      </c>
      <c r="H32" s="121" t="s">
        <v>458</v>
      </c>
      <c r="I32" s="121"/>
      <c r="J32" s="121" t="s">
        <v>139</v>
      </c>
      <c r="K32" s="121">
        <v>1</v>
      </c>
      <c r="L32" s="121">
        <v>254.4</v>
      </c>
      <c r="M32" s="121">
        <v>1.35</v>
      </c>
      <c r="N32" s="121"/>
      <c r="O32" s="121">
        <v>20</v>
      </c>
      <c r="P32" s="176"/>
      <c r="Q32" s="151">
        <f t="shared" si="14"/>
        <v>127.2</v>
      </c>
      <c r="R32" s="132">
        <f t="shared" si="15"/>
        <v>67.5</v>
      </c>
      <c r="S32" s="143" t="str">
        <f t="shared" si="16"/>
        <v>n/a</v>
      </c>
      <c r="T32" s="143" t="str">
        <f t="shared" si="17"/>
        <v>n/a</v>
      </c>
      <c r="U32" s="143" t="str">
        <f t="shared" si="18"/>
        <v>n/a</v>
      </c>
      <c r="V32" s="152">
        <f t="shared" si="19"/>
        <v>194.7</v>
      </c>
      <c r="W32" s="153">
        <f t="shared" si="20"/>
        <v>6.36</v>
      </c>
      <c r="X32" s="154">
        <f t="shared" si="21"/>
        <v>3.375</v>
      </c>
      <c r="Y32" s="154" t="str">
        <f t="shared" si="22"/>
        <v>n/a</v>
      </c>
      <c r="Z32" s="154" t="str">
        <f t="shared" si="23"/>
        <v>n/a</v>
      </c>
      <c r="AA32" s="155">
        <f t="shared" si="24"/>
        <v>9.735</v>
      </c>
      <c r="AB32" s="92">
        <v>0.5</v>
      </c>
      <c r="AC32" s="88" t="s">
        <v>515</v>
      </c>
      <c r="AD32" s="608">
        <v>1</v>
      </c>
      <c r="AE32" s="134" t="s">
        <v>636</v>
      </c>
      <c r="AF32" s="92">
        <v>254.4</v>
      </c>
      <c r="AG32" s="204" t="s">
        <v>515</v>
      </c>
      <c r="AH32" s="302"/>
      <c r="AI32" s="302"/>
      <c r="AJ32" s="303"/>
      <c r="AK32" s="303"/>
      <c r="AL32" s="204"/>
      <c r="AM32" s="92">
        <v>1.35</v>
      </c>
      <c r="AN32" s="120" t="s">
        <v>515</v>
      </c>
      <c r="AO32" s="91"/>
      <c r="AP32" s="91"/>
      <c r="AQ32" s="87"/>
      <c r="AR32" s="91"/>
      <c r="AS32" s="118"/>
      <c r="AT32" s="120">
        <f t="shared" si="25"/>
      </c>
      <c r="AU32" s="131"/>
      <c r="AV32" s="131">
        <f t="shared" si="26"/>
      </c>
      <c r="AW32" s="156"/>
      <c r="AX32" s="219"/>
      <c r="AY32" s="164"/>
      <c r="AZ32" s="159"/>
      <c r="BA32" s="125">
        <f t="shared" si="0"/>
        <v>127.2</v>
      </c>
      <c r="BB32" s="125">
        <f t="shared" si="1"/>
        <v>127.2</v>
      </c>
      <c r="BC32" s="120">
        <f t="shared" si="27"/>
        <v>5</v>
      </c>
      <c r="BD32" s="120">
        <f t="shared" si="2"/>
        <v>67.5</v>
      </c>
      <c r="BE32" s="120">
        <f t="shared" si="3"/>
        <v>67.5</v>
      </c>
      <c r="BF32" s="120" t="str">
        <f t="shared" si="4"/>
        <v>n/a</v>
      </c>
      <c r="BG32" s="120" t="str">
        <f t="shared" si="28"/>
        <v>n/a</v>
      </c>
      <c r="BH32" s="120">
        <f t="shared" si="29"/>
      </c>
      <c r="BI32" s="120" t="str">
        <f t="shared" si="5"/>
        <v>n/a</v>
      </c>
      <c r="BJ32" s="158" t="str">
        <f t="shared" si="30"/>
        <v>n/a</v>
      </c>
      <c r="BK32" s="159">
        <f t="shared" si="31"/>
        <v>194.7</v>
      </c>
      <c r="BL32" s="160" t="str">
        <f t="shared" si="32"/>
        <v>n/a</v>
      </c>
      <c r="BM32" s="161" t="str">
        <f t="shared" si="33"/>
        <v>n/a</v>
      </c>
      <c r="BN32" s="161">
        <f t="shared" si="34"/>
        <v>6.36</v>
      </c>
      <c r="BO32" s="162">
        <f t="shared" si="35"/>
        <v>3.375</v>
      </c>
      <c r="BP32" s="161" t="str">
        <f t="shared" si="36"/>
        <v>n/a</v>
      </c>
      <c r="BQ32" s="162">
        <f t="shared" si="37"/>
        <v>9.735</v>
      </c>
      <c r="BR32" s="161">
        <f t="shared" si="38"/>
        <v>6.36</v>
      </c>
      <c r="BS32" s="161">
        <f t="shared" si="39"/>
        <v>3.375</v>
      </c>
      <c r="BT32" s="161" t="str">
        <f t="shared" si="40"/>
        <v>n/a</v>
      </c>
      <c r="BU32" s="161">
        <f t="shared" si="41"/>
        <v>9.735</v>
      </c>
      <c r="BV32" s="163" t="str">
        <f t="shared" si="42"/>
        <v>Unless otherwise stated, covers concentrations up to 50% [ConsOC1]; covers use up to 364 days/year[ConsOC3]; covers use up to 1 time/on day of use[ConsOC4]; covers skin contact area up to 254,40 cm2 [ConsOC5]; for each use event, assumes swallowed amount of 1,35g [ConsOC13]; </v>
      </c>
      <c r="BW32" s="126" t="str">
        <f t="shared" si="43"/>
        <v>Avoid using at a product concentration greater than 5% [ConsRMM1]; </v>
      </c>
      <c r="BX32" s="125" t="str">
        <f t="shared" si="44"/>
        <v>Based upon daily use + RMM</v>
      </c>
      <c r="BY32" s="120">
        <f t="shared" si="45"/>
        <v>0.587981510015408</v>
      </c>
      <c r="BZ32" s="120">
        <f t="shared" si="46"/>
        <v>0.31201848998459153</v>
      </c>
      <c r="CA32" s="120" t="str">
        <f t="shared" si="47"/>
        <v>n/a</v>
      </c>
      <c r="CB32" s="164">
        <f t="shared" si="48"/>
        <v>0.8999999999999995</v>
      </c>
      <c r="CC32" s="120">
        <f t="shared" si="49"/>
        <v>11.75963020030816</v>
      </c>
      <c r="CD32" s="120">
        <f t="shared" si="50"/>
        <v>6.24036979969183</v>
      </c>
      <c r="CE32" s="159" t="str">
        <f t="shared" si="51"/>
        <v>n/a</v>
      </c>
      <c r="CF32" s="138"/>
      <c r="CG32" s="145" t="str">
        <f t="shared" si="135"/>
        <v>PC9c:Finger paints </v>
      </c>
      <c r="CH32" s="118" t="str">
        <f t="shared" si="136"/>
        <v>Finger paints</v>
      </c>
      <c r="CI32" s="120">
        <f t="shared" si="52"/>
        <v>127.2</v>
      </c>
      <c r="CJ32" s="120">
        <f t="shared" si="53"/>
        <v>67.5</v>
      </c>
      <c r="CK32" s="120" t="str">
        <f t="shared" si="54"/>
        <v>n/a</v>
      </c>
      <c r="CL32" s="165"/>
      <c r="CM32" s="165">
        <f t="shared" si="55"/>
        <v>1272</v>
      </c>
      <c r="CN32" s="165">
        <f t="shared" si="56"/>
        <v>675</v>
      </c>
      <c r="CO32" s="165" t="str">
        <f t="shared" si="57"/>
        <v>n/a</v>
      </c>
      <c r="CP32" s="598">
        <f>IF(SUM(CM32:CO32)&lt;$BZ$4,"",adjustparameter($AB32,0.01,SUM(CM32,CN32,CO32)/$AB32,$BZ$4))</f>
        <v>0.01</v>
      </c>
      <c r="CQ32" s="166">
        <f t="shared" si="58"/>
        <v>0.98</v>
      </c>
      <c r="CR32" s="599">
        <f>IF($CK32="n/a","",IF(SUM(CM32:CO32)&lt;$BZ$4,"",adjustparameter($AO32,0.5*$AO32,SUM(SUM(CO32)*CP32/$AB32/$AO32),($BZ$4-SUM(CM32:CN32)*CP32/$AB32))))</f>
      </c>
      <c r="CS32" s="166">
        <f t="shared" si="59"/>
      </c>
      <c r="CT32" s="165"/>
      <c r="CU32" s="166">
        <f t="shared" si="60"/>
      </c>
      <c r="CV32" s="124"/>
      <c r="CW32" s="166">
        <f t="shared" si="61"/>
      </c>
      <c r="CX32" s="595">
        <f t="shared" si="62"/>
      </c>
      <c r="CY32" s="165">
        <f>IF(CX32="","",VLOOKUP(CX32,Picklist!$C$2:$E$5,3))</f>
      </c>
      <c r="CZ32" s="594">
        <f t="shared" si="63"/>
      </c>
      <c r="DA32" s="165"/>
      <c r="DB32" s="166">
        <f t="shared" si="64"/>
      </c>
      <c r="DC32" s="165">
        <f t="shared" si="65"/>
        <v>2.5440000000000023</v>
      </c>
      <c r="DD32" s="165">
        <f t="shared" si="66"/>
        <v>1.3500000000000012</v>
      </c>
      <c r="DE32" s="165" t="str">
        <f t="shared" si="67"/>
        <v>n/a</v>
      </c>
      <c r="DF32" s="165">
        <f t="shared" si="68"/>
        <v>0.12720000000000012</v>
      </c>
      <c r="DG32" s="165">
        <f t="shared" si="69"/>
        <v>0.06750000000000006</v>
      </c>
      <c r="DH32" s="165" t="str">
        <f t="shared" si="70"/>
        <v>n/a</v>
      </c>
      <c r="DI32" s="167">
        <f t="shared" si="71"/>
        <v>0.19470000000000018</v>
      </c>
      <c r="DJ32" s="165">
        <f t="shared" si="72"/>
        <v>25.44</v>
      </c>
      <c r="DK32" s="165">
        <f t="shared" si="7"/>
        <v>13.5</v>
      </c>
      <c r="DL32" s="165" t="str">
        <f t="shared" si="73"/>
        <v>n/a</v>
      </c>
      <c r="DM32" s="168">
        <f t="shared" si="74"/>
        <v>38.94</v>
      </c>
      <c r="DN32" s="185"/>
      <c r="DO32" s="165">
        <f t="shared" si="75"/>
        <v>127.2</v>
      </c>
      <c r="DP32" s="165">
        <f t="shared" si="76"/>
        <v>67.5</v>
      </c>
      <c r="DQ32" s="165" t="str">
        <f t="shared" si="77"/>
        <v>n/a</v>
      </c>
      <c r="DR32" s="598">
        <f>IF(SUM(DO32:DQ32)&lt;$BZ$4,"",adjustparameter($AB32,0.01,SUM(DO32,DP32,DQ32)/$AB32,$BZ$4))</f>
        <v>0.01</v>
      </c>
      <c r="DS32" s="166">
        <f t="shared" si="78"/>
        <v>0.98</v>
      </c>
      <c r="DT32" s="597">
        <f>IF($CK32="n/a","",IF(SUM(DO32:DQ32)&lt;$BZ$4,"",adjustparameter($AO32,0.5*$AO32,SUM(SUM(DQ32)*DR32/$AB32/$AO32),($BZ$4-SUM(DO32:DP32)*DR32/$AB32))))</f>
      </c>
      <c r="DU32" s="166">
        <f t="shared" si="8"/>
      </c>
      <c r="DV32" s="165"/>
      <c r="DW32" s="166">
        <f t="shared" si="79"/>
      </c>
      <c r="DX32" s="123"/>
      <c r="DY32" s="166">
        <f t="shared" si="80"/>
      </c>
      <c r="DZ32" s="595">
        <f t="shared" si="81"/>
      </c>
      <c r="EA32" s="165">
        <f>IF(DZ32="","",VLOOKUP(DZ32,Picklist!$C$2:$E$5,3))</f>
      </c>
      <c r="EB32" s="594">
        <f t="shared" si="82"/>
      </c>
      <c r="EC32" s="165"/>
      <c r="ED32" s="166">
        <f t="shared" si="83"/>
      </c>
      <c r="EE32" s="593">
        <f t="shared" si="84"/>
        <v>2.5440000000000023</v>
      </c>
      <c r="EF32" s="594">
        <f t="shared" si="85"/>
        <v>1.3500000000000012</v>
      </c>
      <c r="EG32" s="594" t="str">
        <f t="shared" si="86"/>
        <v>n/a</v>
      </c>
      <c r="EH32" s="165">
        <f t="shared" si="87"/>
        <v>0.12720000000000012</v>
      </c>
      <c r="EI32" s="165">
        <f t="shared" si="88"/>
        <v>0.06750000000000006</v>
      </c>
      <c r="EJ32" s="165" t="str">
        <f t="shared" si="89"/>
        <v>n/a</v>
      </c>
      <c r="EK32" s="167">
        <f t="shared" si="90"/>
        <v>0.19470000000000018</v>
      </c>
      <c r="EL32" s="165">
        <f t="shared" si="91"/>
        <v>2.544</v>
      </c>
      <c r="EM32" s="165">
        <f t="shared" si="9"/>
        <v>1.35</v>
      </c>
      <c r="EN32" s="165" t="str">
        <f t="shared" si="92"/>
        <v>n/a</v>
      </c>
      <c r="EO32" s="168">
        <f t="shared" si="93"/>
        <v>3.894</v>
      </c>
      <c r="EP32" s="185"/>
      <c r="EQ32" s="165">
        <f t="shared" si="94"/>
        <v>25.44</v>
      </c>
      <c r="ER32" s="165">
        <f t="shared" si="95"/>
        <v>13.5</v>
      </c>
      <c r="ES32" s="165" t="str">
        <f t="shared" si="96"/>
        <v>n/a</v>
      </c>
      <c r="ET32" s="596">
        <f>IF(SUM(EQ32:ES32)&lt;$BZ$4,"",adjustparameter($AB32,0.01,SUM(EQ32,ER32,ES32)/$AB32,$BZ$4))</f>
        <v>0.011556240369799693</v>
      </c>
      <c r="EU32" s="166">
        <f t="shared" si="97"/>
        <v>0.9768875192604006</v>
      </c>
      <c r="EV32" s="597">
        <f>IF($CK32="n/a","",IF(SUM(EQ32:ES32)&lt;$BZ$4,"",adjustparameter($AO32,0.5*$AO32,SUM(SUM(ES32)*ET32/$AB32/$AO32),($BZ$4-SUM(EQ32:ER32)*ET32/$AB32))))</f>
      </c>
      <c r="EW32" s="166">
        <f t="shared" si="98"/>
      </c>
      <c r="EX32" s="165"/>
      <c r="EY32" s="166">
        <f t="shared" si="99"/>
      </c>
      <c r="EZ32" s="123"/>
      <c r="FA32" s="166">
        <f t="shared" si="100"/>
      </c>
      <c r="FB32" s="595">
        <f t="shared" si="101"/>
      </c>
      <c r="FC32" s="165">
        <f>IF(FB32="","",VLOOKUP(FB32,Picklist!$C$2:$E$5,3))</f>
      </c>
      <c r="FD32" s="594">
        <f t="shared" si="102"/>
      </c>
      <c r="FE32" s="165"/>
      <c r="FF32" s="166">
        <f t="shared" si="10"/>
      </c>
      <c r="FG32" s="593">
        <f t="shared" si="103"/>
        <v>2.93990755007704</v>
      </c>
      <c r="FH32" s="594">
        <f t="shared" si="104"/>
        <v>1.5600924499229576</v>
      </c>
      <c r="FI32" s="594" t="str">
        <f t="shared" si="105"/>
        <v>n/a</v>
      </c>
      <c r="FJ32" s="165">
        <f t="shared" si="106"/>
        <v>0.146995377503852</v>
      </c>
      <c r="FK32" s="165">
        <f t="shared" si="107"/>
        <v>0.07800462249614788</v>
      </c>
      <c r="FL32" s="165" t="str">
        <f t="shared" si="108"/>
        <v>n/a</v>
      </c>
      <c r="FM32" s="167">
        <f t="shared" si="109"/>
        <v>0.22499999999999987</v>
      </c>
      <c r="FN32" s="165">
        <f t="shared" si="110"/>
        <v>0.5879815100154084</v>
      </c>
      <c r="FO32" s="165">
        <f t="shared" si="11"/>
        <v>0.3120184899845917</v>
      </c>
      <c r="FP32" s="165" t="str">
        <f t="shared" si="111"/>
        <v>n/a</v>
      </c>
      <c r="FQ32" s="168">
        <f t="shared" si="112"/>
        <v>0.9000000000000001</v>
      </c>
      <c r="FR32" s="185"/>
      <c r="FS32" s="165">
        <f t="shared" si="113"/>
        <v>6.36</v>
      </c>
      <c r="FT32" s="165">
        <f t="shared" si="114"/>
        <v>3.375</v>
      </c>
      <c r="FU32" s="165" t="str">
        <f t="shared" si="115"/>
        <v>n/a</v>
      </c>
      <c r="FV32" s="596">
        <f>IF(SUM(FS32:FU32)&lt;$BZ$4,"",adjustparameter($AB32,0.01,SUM(FS32,FT32,FU32)/$AB32,$BZ$4))</f>
        <v>0.04622496147919877</v>
      </c>
      <c r="FW32" s="166">
        <f t="shared" si="116"/>
        <v>0.9075500770416025</v>
      </c>
      <c r="FX32" s="597">
        <f>IF($CK32="n/a","",IF(SUM(FS32:FU32)&lt;$BZ$4,"",adjustparameter($AO32,0.5*$AO32,SUM(SUM(FU32)*FV32/$AB32/$AO32),($BZ$4-SUM(FS32:FT32)*FV32/$AB32))))</f>
      </c>
      <c r="FY32" s="166">
        <f t="shared" si="117"/>
      </c>
      <c r="FZ32" s="165"/>
      <c r="GA32" s="166">
        <f t="shared" si="118"/>
      </c>
      <c r="GB32" s="123"/>
      <c r="GC32" s="166">
        <f t="shared" si="119"/>
      </c>
      <c r="GD32" s="595">
        <f t="shared" si="120"/>
      </c>
      <c r="GE32" s="165">
        <f>IF(GD32="","",VLOOKUP(GD32,Picklist!$C$2:$E$5,3))</f>
      </c>
      <c r="GF32" s="594">
        <f t="shared" si="121"/>
      </c>
      <c r="GG32" s="165"/>
      <c r="GH32" s="166">
        <f t="shared" si="12"/>
      </c>
      <c r="GI32" s="593">
        <f t="shared" si="122"/>
        <v>11.75963020030816</v>
      </c>
      <c r="GJ32" s="594">
        <f t="shared" si="123"/>
        <v>6.24036979969183</v>
      </c>
      <c r="GK32" s="594" t="str">
        <f t="shared" si="124"/>
        <v>n/a</v>
      </c>
      <c r="GL32" s="165">
        <f t="shared" si="125"/>
        <v>0.587981510015408</v>
      </c>
      <c r="GM32" s="165">
        <f t="shared" si="126"/>
        <v>0.31201848998459153</v>
      </c>
      <c r="GN32" s="165" t="str">
        <f t="shared" si="127"/>
        <v>n/a</v>
      </c>
      <c r="GO32" s="167">
        <f t="shared" si="128"/>
        <v>0.8999999999999995</v>
      </c>
      <c r="GP32" s="165">
        <f t="shared" si="129"/>
        <v>0.5879815100154084</v>
      </c>
      <c r="GQ32" s="165">
        <f t="shared" si="13"/>
        <v>0.3120184899845917</v>
      </c>
      <c r="GR32" s="165" t="str">
        <f t="shared" si="130"/>
        <v>n/a</v>
      </c>
      <c r="GS32" s="170">
        <f t="shared" si="131"/>
        <v>0.9000000000000001</v>
      </c>
    </row>
    <row r="33" spans="1:248" s="171" customFormat="1" ht="123.75" customHeight="1">
      <c r="A33" s="144"/>
      <c r="B33" s="145"/>
      <c r="C33" s="187" t="s">
        <v>387</v>
      </c>
      <c r="D33" s="221" t="s">
        <v>33</v>
      </c>
      <c r="E33" s="140" t="s">
        <v>34</v>
      </c>
      <c r="F33" s="179">
        <v>0.5</v>
      </c>
      <c r="G33" s="128" t="s">
        <v>388</v>
      </c>
      <c r="H33" s="128" t="s">
        <v>458</v>
      </c>
      <c r="I33" s="118"/>
      <c r="J33" s="121" t="s">
        <v>139</v>
      </c>
      <c r="K33" s="121">
        <v>1</v>
      </c>
      <c r="L33" s="121">
        <v>857.5</v>
      </c>
      <c r="M33" s="121">
        <v>0.3</v>
      </c>
      <c r="N33" s="118"/>
      <c r="O33" s="121">
        <v>20</v>
      </c>
      <c r="P33" s="140"/>
      <c r="Q33" s="151">
        <f t="shared" si="14"/>
        <v>71.45833333333334</v>
      </c>
      <c r="R33" s="132">
        <f t="shared" si="15"/>
        <v>15</v>
      </c>
      <c r="S33" s="143" t="str">
        <f t="shared" si="16"/>
        <v>n/a</v>
      </c>
      <c r="T33" s="143" t="str">
        <f t="shared" si="17"/>
        <v>n/a</v>
      </c>
      <c r="U33" s="143" t="str">
        <f t="shared" si="18"/>
        <v>n/a</v>
      </c>
      <c r="V33" s="152">
        <f t="shared" si="19"/>
        <v>86.45833333333334</v>
      </c>
      <c r="W33" s="153">
        <f t="shared" si="20"/>
        <v>3.572916666666667</v>
      </c>
      <c r="X33" s="154">
        <f t="shared" si="21"/>
        <v>0.75</v>
      </c>
      <c r="Y33" s="154" t="str">
        <f t="shared" si="22"/>
        <v>n/a</v>
      </c>
      <c r="Z33" s="154" t="str">
        <f t="shared" si="23"/>
        <v>n/a</v>
      </c>
      <c r="AA33" s="155">
        <f t="shared" si="24"/>
        <v>4.322916666666667</v>
      </c>
      <c r="AB33" s="92">
        <v>0.5</v>
      </c>
      <c r="AC33" s="87" t="s">
        <v>65</v>
      </c>
      <c r="AD33" s="180">
        <v>1</v>
      </c>
      <c r="AE33" s="120" t="s">
        <v>634</v>
      </c>
      <c r="AF33" s="92">
        <v>857.5</v>
      </c>
      <c r="AG33" s="120" t="s">
        <v>65</v>
      </c>
      <c r="AH33" s="87"/>
      <c r="AI33" s="87"/>
      <c r="AJ33" s="112"/>
      <c r="AK33" s="112"/>
      <c r="AL33" s="118"/>
      <c r="AM33" s="92">
        <v>0.3</v>
      </c>
      <c r="AN33" s="118" t="s">
        <v>515</v>
      </c>
      <c r="AO33" s="81"/>
      <c r="AP33" s="81"/>
      <c r="AQ33" s="87"/>
      <c r="AR33" s="81"/>
      <c r="AS33" s="118"/>
      <c r="AT33" s="120">
        <f t="shared" si="25"/>
      </c>
      <c r="AU33" s="120"/>
      <c r="AV33" s="131">
        <f t="shared" si="26"/>
      </c>
      <c r="AW33" s="156"/>
      <c r="AX33" s="120"/>
      <c r="AY33" s="118"/>
      <c r="AZ33" s="141"/>
      <c r="BA33" s="125">
        <f t="shared" si="0"/>
        <v>71.45833333333334</v>
      </c>
      <c r="BB33" s="125">
        <f t="shared" si="1"/>
        <v>71.45833333333334</v>
      </c>
      <c r="BC33" s="120">
        <f t="shared" si="27"/>
        <v>5</v>
      </c>
      <c r="BD33" s="120">
        <f t="shared" si="2"/>
        <v>15</v>
      </c>
      <c r="BE33" s="120">
        <f t="shared" si="3"/>
        <v>15</v>
      </c>
      <c r="BF33" s="120" t="str">
        <f t="shared" si="4"/>
        <v>n/a</v>
      </c>
      <c r="BG33" s="120" t="str">
        <f t="shared" si="28"/>
        <v>n/a</v>
      </c>
      <c r="BH33" s="120">
        <f t="shared" si="29"/>
      </c>
      <c r="BI33" s="120" t="str">
        <f t="shared" si="5"/>
        <v>n/a</v>
      </c>
      <c r="BJ33" s="158" t="str">
        <f t="shared" si="30"/>
        <v>n/a</v>
      </c>
      <c r="BK33" s="159">
        <f t="shared" si="31"/>
        <v>86.45833333333334</v>
      </c>
      <c r="BL33" s="160" t="str">
        <f t="shared" si="32"/>
        <v>n/a</v>
      </c>
      <c r="BM33" s="161" t="str">
        <f t="shared" si="33"/>
        <v>n/a</v>
      </c>
      <c r="BN33" s="161">
        <f t="shared" si="34"/>
        <v>3.572916666666667</v>
      </c>
      <c r="BO33" s="162">
        <f t="shared" si="35"/>
        <v>0.75</v>
      </c>
      <c r="BP33" s="161" t="str">
        <f t="shared" si="36"/>
        <v>n/a</v>
      </c>
      <c r="BQ33" s="162">
        <f t="shared" si="37"/>
        <v>4.322916666666667</v>
      </c>
      <c r="BR33" s="161">
        <f t="shared" si="38"/>
        <v>3.572916666666667</v>
      </c>
      <c r="BS33" s="161">
        <f t="shared" si="39"/>
        <v>0.75</v>
      </c>
      <c r="BT33" s="161" t="str">
        <f t="shared" si="40"/>
        <v>n/a</v>
      </c>
      <c r="BU33" s="161">
        <f t="shared" si="41"/>
        <v>4.322916666666667</v>
      </c>
      <c r="BV33" s="163" t="str">
        <f t="shared" si="42"/>
        <v>Unless otherwise stated, covers concentrations up to 50% [ConsOC1]; covers use up to 364 days/year[ConsOC3]; covers use up to 1 time/on day of use[ConsOC4]; covers skin contact area up to 857,50 cm2 [ConsOC5]; for each use event, assumes swallowed amount of 0,3g [ConsOC13]; </v>
      </c>
      <c r="BW33" s="126" t="str">
        <f t="shared" si="43"/>
        <v>Avoid using at a product concentration greater than 10% [ConsRMM1]; </v>
      </c>
      <c r="BX33" s="125" t="str">
        <f t="shared" si="44"/>
        <v>Based upon daily use + RMM</v>
      </c>
      <c r="BY33" s="120">
        <f t="shared" si="45"/>
        <v>0.743855421686747</v>
      </c>
      <c r="BZ33" s="120">
        <f t="shared" si="46"/>
        <v>0.15614457831325299</v>
      </c>
      <c r="CA33" s="120" t="str">
        <f t="shared" si="47"/>
        <v>n/a</v>
      </c>
      <c r="CB33" s="164">
        <f t="shared" si="48"/>
        <v>0.9</v>
      </c>
      <c r="CC33" s="120">
        <f t="shared" si="49"/>
        <v>14.87710843373494</v>
      </c>
      <c r="CD33" s="120">
        <f t="shared" si="50"/>
        <v>3.12289156626506</v>
      </c>
      <c r="CE33" s="159" t="str">
        <f t="shared" si="51"/>
        <v>n/a</v>
      </c>
      <c r="CF33" s="138"/>
      <c r="CG33" s="145" t="str">
        <f t="shared" si="135"/>
        <v>PC12:Fertilizers</v>
      </c>
      <c r="CH33" s="118" t="str">
        <f t="shared" si="136"/>
        <v>Lawn and garden preparations</v>
      </c>
      <c r="CI33" s="120">
        <f t="shared" si="52"/>
        <v>71.45833333333334</v>
      </c>
      <c r="CJ33" s="120">
        <f t="shared" si="53"/>
        <v>15</v>
      </c>
      <c r="CK33" s="120" t="str">
        <f t="shared" si="54"/>
        <v>n/a</v>
      </c>
      <c r="CL33" s="124"/>
      <c r="CM33" s="165">
        <f t="shared" si="55"/>
        <v>714.5833333333334</v>
      </c>
      <c r="CN33" s="165">
        <f t="shared" si="56"/>
        <v>150</v>
      </c>
      <c r="CO33" s="165" t="str">
        <f t="shared" si="57"/>
        <v>n/a</v>
      </c>
      <c r="CP33" s="598">
        <f>IF(SUM(CM33:CO33)&lt;$BZ$4,"",adjustparameter($AB33,0.01,SUM(CM33,CN33,CO33)/$AB33,$BZ$4))</f>
        <v>0.01</v>
      </c>
      <c r="CQ33" s="166">
        <f t="shared" si="58"/>
        <v>0.98</v>
      </c>
      <c r="CR33" s="599">
        <f>IF($CK33="n/a","",IF(SUM(CM33:CO33)&lt;$BZ$4,"",adjustparameter($AO33,0.5*$AO33,SUM(SUM(CO33)*CP33/$AB33/$AO33),($BZ$4-SUM(CM33:CN33)*CP33/$AB33))))</f>
      </c>
      <c r="CS33" s="166">
        <f t="shared" si="59"/>
      </c>
      <c r="CT33" s="124"/>
      <c r="CU33" s="166">
        <f t="shared" si="60"/>
      </c>
      <c r="CV33" s="124"/>
      <c r="CW33" s="166">
        <f t="shared" si="61"/>
      </c>
      <c r="CX33" s="595">
        <f t="shared" si="62"/>
      </c>
      <c r="CY33" s="165">
        <f>IF(CX33="","",VLOOKUP(CX33,Picklist!$C$2:$E$5,3))</f>
      </c>
      <c r="CZ33" s="594">
        <f t="shared" si="63"/>
      </c>
      <c r="DA33" s="165"/>
      <c r="DB33" s="166">
        <f t="shared" si="64"/>
      </c>
      <c r="DC33" s="165">
        <f t="shared" si="65"/>
        <v>1.429166666666668</v>
      </c>
      <c r="DD33" s="165">
        <f t="shared" si="66"/>
        <v>0.30000000000000027</v>
      </c>
      <c r="DE33" s="165" t="str">
        <f t="shared" si="67"/>
        <v>n/a</v>
      </c>
      <c r="DF33" s="165">
        <f t="shared" si="68"/>
        <v>0.0714583333333334</v>
      </c>
      <c r="DG33" s="165">
        <f t="shared" si="69"/>
        <v>0.015000000000000013</v>
      </c>
      <c r="DH33" s="165" t="str">
        <f t="shared" si="70"/>
        <v>n/a</v>
      </c>
      <c r="DI33" s="167">
        <f t="shared" si="71"/>
        <v>0.08645833333333341</v>
      </c>
      <c r="DJ33" s="165">
        <f t="shared" si="72"/>
        <v>14.291666666666668</v>
      </c>
      <c r="DK33" s="165">
        <f t="shared" si="7"/>
        <v>3</v>
      </c>
      <c r="DL33" s="165" t="str">
        <f t="shared" si="73"/>
        <v>n/a</v>
      </c>
      <c r="DM33" s="168">
        <f t="shared" si="74"/>
        <v>17.291666666666668</v>
      </c>
      <c r="DN33" s="169"/>
      <c r="DO33" s="165">
        <f t="shared" si="75"/>
        <v>71.45833333333334</v>
      </c>
      <c r="DP33" s="165">
        <f t="shared" si="76"/>
        <v>15</v>
      </c>
      <c r="DQ33" s="165" t="str">
        <f t="shared" si="77"/>
        <v>n/a</v>
      </c>
      <c r="DR33" s="598">
        <f>IF(SUM(DO33:DQ33)&lt;$BZ$4,"",adjustparameter($AB33,0.01,SUM(DO33,DP33,DQ33)/$AB33,$BZ$4))</f>
        <v>0.01</v>
      </c>
      <c r="DS33" s="166">
        <f t="shared" si="78"/>
        <v>0.98</v>
      </c>
      <c r="DT33" s="597">
        <f>IF($CK33="n/a","",IF(SUM(DO33:DQ33)&lt;$BZ$4,"",adjustparameter($AO33,0.5*$AO33,SUM(SUM(DQ33)*DR33/$AB33/$AO33),($BZ$4-SUM(DO33:DP33)*DR33/$AB33))))</f>
      </c>
      <c r="DU33" s="166">
        <f t="shared" si="8"/>
      </c>
      <c r="DV33" s="124"/>
      <c r="DW33" s="166">
        <f t="shared" si="79"/>
      </c>
      <c r="DX33" s="124"/>
      <c r="DY33" s="166">
        <f t="shared" si="80"/>
      </c>
      <c r="DZ33" s="595">
        <f t="shared" si="81"/>
      </c>
      <c r="EA33" s="165">
        <f>IF(DZ33="","",VLOOKUP(DZ33,Picklist!$C$2:$E$5,3))</f>
      </c>
      <c r="EB33" s="594">
        <f t="shared" si="82"/>
      </c>
      <c r="EC33" s="165"/>
      <c r="ED33" s="166">
        <f t="shared" si="83"/>
      </c>
      <c r="EE33" s="593">
        <f t="shared" si="84"/>
        <v>1.429166666666668</v>
      </c>
      <c r="EF33" s="594">
        <f t="shared" si="85"/>
        <v>0.30000000000000027</v>
      </c>
      <c r="EG33" s="594" t="str">
        <f t="shared" si="86"/>
        <v>n/a</v>
      </c>
      <c r="EH33" s="165">
        <f t="shared" si="87"/>
        <v>0.0714583333333334</v>
      </c>
      <c r="EI33" s="165">
        <f t="shared" si="88"/>
        <v>0.015000000000000013</v>
      </c>
      <c r="EJ33" s="165" t="str">
        <f t="shared" si="89"/>
        <v>n/a</v>
      </c>
      <c r="EK33" s="167">
        <f t="shared" si="90"/>
        <v>0.08645833333333341</v>
      </c>
      <c r="EL33" s="165">
        <f t="shared" si="91"/>
        <v>1.429166666666667</v>
      </c>
      <c r="EM33" s="165">
        <f t="shared" si="9"/>
        <v>0.3</v>
      </c>
      <c r="EN33" s="165" t="str">
        <f t="shared" si="92"/>
        <v>n/a</v>
      </c>
      <c r="EO33" s="168">
        <f t="shared" si="93"/>
        <v>1.729166666666667</v>
      </c>
      <c r="EP33" s="169"/>
      <c r="EQ33" s="165">
        <f t="shared" si="94"/>
        <v>14.291666666666668</v>
      </c>
      <c r="ER33" s="165">
        <f t="shared" si="95"/>
        <v>3</v>
      </c>
      <c r="ES33" s="165" t="str">
        <f t="shared" si="96"/>
        <v>n/a</v>
      </c>
      <c r="ET33" s="596">
        <f>IF(SUM(EQ33:ES33)&lt;$BZ$4,"",adjustparameter($AB33,0.01,SUM(EQ33,ER33,ES33)/$AB33,$BZ$4))</f>
        <v>0.026024096385542168</v>
      </c>
      <c r="EU33" s="166">
        <f t="shared" si="97"/>
        <v>0.9479518072289157</v>
      </c>
      <c r="EV33" s="597">
        <f>IF($CK33="n/a","",IF(SUM(EQ33:ES33)&lt;$BZ$4,"",adjustparameter($AO33,0.5*$AO33,SUM(SUM(ES33)*ET33/$AB33/$AO33),($BZ$4-SUM(EQ33:ER33)*ET33/$AB33))))</f>
      </c>
      <c r="EW33" s="166">
        <f t="shared" si="98"/>
      </c>
      <c r="EX33" s="124"/>
      <c r="EY33" s="166">
        <f t="shared" si="99"/>
      </c>
      <c r="EZ33" s="124"/>
      <c r="FA33" s="166">
        <f t="shared" si="100"/>
      </c>
      <c r="FB33" s="595">
        <f t="shared" si="101"/>
      </c>
      <c r="FC33" s="165">
        <f>IF(FB33="","",VLOOKUP(FB33,Picklist!$C$2:$E$5,3))</f>
      </c>
      <c r="FD33" s="594">
        <f t="shared" si="102"/>
      </c>
      <c r="FE33" s="165"/>
      <c r="FF33" s="166">
        <f t="shared" si="10"/>
      </c>
      <c r="FG33" s="593">
        <f t="shared" si="103"/>
        <v>3.7192771084337326</v>
      </c>
      <c r="FH33" s="594">
        <f t="shared" si="104"/>
        <v>0.7807228915662645</v>
      </c>
      <c r="FI33" s="594" t="str">
        <f t="shared" si="105"/>
        <v>n/a</v>
      </c>
      <c r="FJ33" s="165">
        <f t="shared" si="106"/>
        <v>0.18596385542168664</v>
      </c>
      <c r="FK33" s="165">
        <f t="shared" si="107"/>
        <v>0.039036144578313225</v>
      </c>
      <c r="FL33" s="165" t="str">
        <f t="shared" si="108"/>
        <v>n/a</v>
      </c>
      <c r="FM33" s="167">
        <f t="shared" si="109"/>
        <v>0.22499999999999987</v>
      </c>
      <c r="FN33" s="165">
        <f t="shared" si="110"/>
        <v>0.743855421686747</v>
      </c>
      <c r="FO33" s="165">
        <f t="shared" si="11"/>
        <v>0.156144578313253</v>
      </c>
      <c r="FP33" s="165" t="str">
        <f t="shared" si="111"/>
        <v>n/a</v>
      </c>
      <c r="FQ33" s="168">
        <f t="shared" si="112"/>
        <v>0.9</v>
      </c>
      <c r="FR33" s="169"/>
      <c r="FS33" s="165">
        <f t="shared" si="113"/>
        <v>3.572916666666667</v>
      </c>
      <c r="FT33" s="165">
        <f t="shared" si="114"/>
        <v>0.75</v>
      </c>
      <c r="FU33" s="165" t="str">
        <f t="shared" si="115"/>
        <v>n/a</v>
      </c>
      <c r="FV33" s="596">
        <f>IF(SUM(FS33:FU33)&lt;$BZ$4,"",adjustparameter($AB33,0.01,SUM(FS33,FT33,FU33)/$AB33,$BZ$4))</f>
        <v>0.10409638554216867</v>
      </c>
      <c r="FW33" s="166">
        <f t="shared" si="116"/>
        <v>0.7918072289156627</v>
      </c>
      <c r="FX33" s="597">
        <f>IF($CK33="n/a","",IF(SUM(FS33:FU33)&lt;$BZ$4,"",adjustparameter($AO33,0.5*$AO33,SUM(SUM(FU33)*FV33/$AB33/$AO33),($BZ$4-SUM(FS33:FT33)*FV33/$AB33))))</f>
      </c>
      <c r="FY33" s="166">
        <f t="shared" si="117"/>
      </c>
      <c r="FZ33" s="124"/>
      <c r="GA33" s="166">
        <f t="shared" si="118"/>
      </c>
      <c r="GB33" s="124"/>
      <c r="GC33" s="166">
        <f t="shared" si="119"/>
      </c>
      <c r="GD33" s="595">
        <f t="shared" si="120"/>
      </c>
      <c r="GE33" s="165">
        <f>IF(GD33="","",VLOOKUP(GD33,Picklist!$C$2:$E$5,3))</f>
      </c>
      <c r="GF33" s="594">
        <f t="shared" si="121"/>
      </c>
      <c r="GG33" s="165"/>
      <c r="GH33" s="166">
        <f t="shared" si="12"/>
      </c>
      <c r="GI33" s="593">
        <f t="shared" si="122"/>
        <v>14.87710843373494</v>
      </c>
      <c r="GJ33" s="594">
        <f t="shared" si="123"/>
        <v>3.12289156626506</v>
      </c>
      <c r="GK33" s="594" t="str">
        <f t="shared" si="124"/>
        <v>n/a</v>
      </c>
      <c r="GL33" s="165">
        <f t="shared" si="125"/>
        <v>0.743855421686747</v>
      </c>
      <c r="GM33" s="165">
        <f t="shared" si="126"/>
        <v>0.15614457831325299</v>
      </c>
      <c r="GN33" s="165" t="str">
        <f t="shared" si="127"/>
        <v>n/a</v>
      </c>
      <c r="GO33" s="167">
        <f t="shared" si="128"/>
        <v>0.9</v>
      </c>
      <c r="GP33" s="165">
        <f t="shared" si="129"/>
        <v>0.743855421686747</v>
      </c>
      <c r="GQ33" s="165">
        <f t="shared" si="13"/>
        <v>0.156144578313253</v>
      </c>
      <c r="GR33" s="165" t="str">
        <f t="shared" si="130"/>
        <v>n/a</v>
      </c>
      <c r="GS33" s="170">
        <f t="shared" si="131"/>
        <v>0.9</v>
      </c>
      <c r="GT33" s="139"/>
      <c r="GU33" s="139"/>
      <c r="GV33" s="139"/>
      <c r="GW33" s="139"/>
      <c r="GX33" s="139"/>
      <c r="GY33" s="139"/>
      <c r="GZ33" s="139"/>
      <c r="HA33" s="139"/>
      <c r="HB33" s="139"/>
      <c r="HC33" s="139"/>
      <c r="HD33" s="139"/>
      <c r="HE33" s="139"/>
      <c r="HF33" s="139"/>
      <c r="HG33" s="139"/>
      <c r="HH33" s="139"/>
      <c r="HI33" s="139"/>
      <c r="HJ33" s="139"/>
      <c r="HK33" s="139"/>
      <c r="HL33" s="139"/>
      <c r="HM33" s="139"/>
      <c r="HN33" s="139"/>
      <c r="HO33" s="139"/>
      <c r="HP33" s="139"/>
      <c r="HQ33" s="139"/>
      <c r="HR33" s="139"/>
      <c r="HS33" s="139"/>
      <c r="HT33" s="139"/>
      <c r="HU33" s="139"/>
      <c r="HV33" s="139"/>
      <c r="HW33" s="139"/>
      <c r="HX33" s="139"/>
      <c r="HY33" s="139"/>
      <c r="HZ33" s="139"/>
      <c r="IA33" s="139"/>
      <c r="IB33" s="139"/>
      <c r="IC33" s="139"/>
      <c r="ID33" s="139"/>
      <c r="IE33" s="139"/>
      <c r="IF33" s="139"/>
      <c r="IG33" s="139"/>
      <c r="IH33" s="139"/>
      <c r="II33" s="139"/>
      <c r="IJ33" s="139"/>
      <c r="IK33" s="139"/>
      <c r="IL33" s="139"/>
      <c r="IM33" s="139"/>
      <c r="IN33" s="139"/>
    </row>
    <row r="34" spans="1:248" s="228" customFormat="1" ht="118.5">
      <c r="A34" s="144"/>
      <c r="B34" s="145"/>
      <c r="C34" s="222" t="s">
        <v>387</v>
      </c>
      <c r="D34" s="223" t="s">
        <v>36</v>
      </c>
      <c r="E34" s="224" t="s">
        <v>141</v>
      </c>
      <c r="F34" s="209">
        <v>0.5</v>
      </c>
      <c r="G34" s="128" t="s">
        <v>388</v>
      </c>
      <c r="H34" s="225"/>
      <c r="I34" s="128" t="s">
        <v>388</v>
      </c>
      <c r="J34" s="128" t="s">
        <v>139</v>
      </c>
      <c r="K34" s="128">
        <v>1</v>
      </c>
      <c r="L34" s="128">
        <v>857.5</v>
      </c>
      <c r="M34" s="225"/>
      <c r="N34" s="128">
        <v>5000</v>
      </c>
      <c r="O34" s="128">
        <v>20</v>
      </c>
      <c r="P34" s="210">
        <v>4</v>
      </c>
      <c r="Q34" s="151">
        <f t="shared" si="14"/>
        <v>71.45833333333334</v>
      </c>
      <c r="R34" s="132" t="str">
        <f t="shared" si="15"/>
        <v>n/a</v>
      </c>
      <c r="S34" s="143">
        <f t="shared" si="16"/>
        <v>11416.666666666668</v>
      </c>
      <c r="T34" s="143">
        <f t="shared" si="17"/>
        <v>125000</v>
      </c>
      <c r="U34" s="143">
        <f t="shared" si="18"/>
        <v>125000</v>
      </c>
      <c r="V34" s="152">
        <f t="shared" si="19"/>
        <v>11488.125000000002</v>
      </c>
      <c r="W34" s="153">
        <f t="shared" si="20"/>
        <v>3.572916666666667</v>
      </c>
      <c r="X34" s="154" t="str">
        <f t="shared" si="21"/>
        <v>n/a</v>
      </c>
      <c r="Y34" s="154" t="str">
        <f t="shared" si="22"/>
        <v>n/a</v>
      </c>
      <c r="Z34" s="154">
        <f t="shared" si="23"/>
        <v>1785.7142857142858</v>
      </c>
      <c r="AA34" s="155">
        <f t="shared" si="24"/>
        <v>1789.2872023809525</v>
      </c>
      <c r="AB34" s="113">
        <v>1</v>
      </c>
      <c r="AC34" s="105" t="s">
        <v>229</v>
      </c>
      <c r="AD34" s="609">
        <v>1</v>
      </c>
      <c r="AE34" s="127" t="s">
        <v>640</v>
      </c>
      <c r="AF34" s="105">
        <v>210</v>
      </c>
      <c r="AG34" s="127" t="s">
        <v>146</v>
      </c>
      <c r="AH34" s="105"/>
      <c r="AI34" s="105"/>
      <c r="AJ34" s="305"/>
      <c r="AK34" s="306"/>
      <c r="AL34" s="127"/>
      <c r="AM34" s="571"/>
      <c r="AN34" s="193"/>
      <c r="AO34" s="114">
        <f>((50*750)/1000)*1000</f>
        <v>37500</v>
      </c>
      <c r="AP34" s="81" t="s">
        <v>147</v>
      </c>
      <c r="AQ34" s="315">
        <v>0.002</v>
      </c>
      <c r="AR34" s="81" t="s">
        <v>169</v>
      </c>
      <c r="AS34" s="129" t="s">
        <v>499</v>
      </c>
      <c r="AT34" s="578">
        <f t="shared" si="25"/>
        <v>2.5</v>
      </c>
      <c r="AU34" s="603" t="s">
        <v>668</v>
      </c>
      <c r="AV34" s="131">
        <f t="shared" si="26"/>
        <v>0.9400247793232364</v>
      </c>
      <c r="AW34" s="156">
        <f aca="true" t="shared" si="137" ref="AW34:AW45">IF(OR(AS34="indoor, typical",AS34="indoor, ventilation",AS34="indoor, active ventilation"),20,IF(AS34="garage",34,IF(AS34="outdoor",100,"")))</f>
        <v>100</v>
      </c>
      <c r="AX34" s="156" t="str">
        <f aca="true" t="shared" si="138" ref="AX34:AX49">IF(AW34=20,"TRA default",IF(AW34=34,"RIVM general fact sheet",IF(AW34=100,"Stoffenmanager volume used for outdoors","")))</f>
        <v>Stoffenmanager volume used for outdoors</v>
      </c>
      <c r="AY34" s="158">
        <v>0.05</v>
      </c>
      <c r="AZ34" s="141" t="s">
        <v>156</v>
      </c>
      <c r="BA34" s="125">
        <f t="shared" si="0"/>
        <v>35.00000000000001</v>
      </c>
      <c r="BB34" s="125">
        <f t="shared" si="1"/>
        <v>35.00000000000001</v>
      </c>
      <c r="BC34" s="120">
        <f t="shared" si="27"/>
        <v>10</v>
      </c>
      <c r="BD34" s="120" t="str">
        <f t="shared" si="2"/>
        <v>n/a</v>
      </c>
      <c r="BE34" s="120" t="str">
        <f t="shared" si="3"/>
        <v>n/a</v>
      </c>
      <c r="BF34" s="120">
        <f t="shared" si="4"/>
        <v>0.8048962172955213</v>
      </c>
      <c r="BG34" s="120">
        <f t="shared" si="28"/>
        <v>705.0185844924273</v>
      </c>
      <c r="BH34" s="120">
        <f t="shared" si="29"/>
      </c>
      <c r="BI34" s="120">
        <f t="shared" si="5"/>
        <v>1.468788717692557</v>
      </c>
      <c r="BJ34" s="158">
        <f t="shared" si="30"/>
        <v>1.468788717692557</v>
      </c>
      <c r="BK34" s="159">
        <f t="shared" si="31"/>
        <v>35.80489621729553</v>
      </c>
      <c r="BL34" s="160" t="str">
        <f t="shared" si="32"/>
        <v>n/a</v>
      </c>
      <c r="BM34" s="161" t="str">
        <f t="shared" si="33"/>
        <v>n/a</v>
      </c>
      <c r="BN34" s="161">
        <f t="shared" si="34"/>
        <v>1.7500000000000004</v>
      </c>
      <c r="BO34" s="162" t="str">
        <f t="shared" si="35"/>
        <v>n/a</v>
      </c>
      <c r="BP34" s="161">
        <f t="shared" si="36"/>
        <v>0.020982695967036526</v>
      </c>
      <c r="BQ34" s="162">
        <f t="shared" si="37"/>
        <v>1.770982695967037</v>
      </c>
      <c r="BR34" s="161">
        <f t="shared" si="38"/>
        <v>1.7500000000000004</v>
      </c>
      <c r="BS34" s="161" t="str">
        <f t="shared" si="39"/>
        <v>n/a</v>
      </c>
      <c r="BT34" s="161">
        <f t="shared" si="40"/>
        <v>0.020982695967036526</v>
      </c>
      <c r="BU34" s="161">
        <f t="shared" si="41"/>
        <v>1.770982695967037</v>
      </c>
      <c r="BV34" s="163" t="str">
        <f t="shared" si="42"/>
        <v>Unless otherwise stated, covers concentrations up to 100% [ConsOC1]; covers use up to 364 days/year[ConsOC3]; covers use up to 1 time/on day of use[ConsOC4]; covers skin contact area up to 210,00 cm2 [ConsOC5]; for each use event, covers use amounts up to 37500g [ConsOC2]; covers outdoor use [ConsOC12]; covers use in room size of 100m3[ConsOC11]; for each use event, covers exposure up to 0,05hr/event[ConsOC14]; </v>
      </c>
      <c r="BW34" s="126" t="str">
        <f t="shared" si="43"/>
        <v>No specific RMMs developed beyond those OCs stated</v>
      </c>
      <c r="BX34" s="125" t="str">
        <f t="shared" si="44"/>
        <v>Based upon daily use</v>
      </c>
      <c r="BY34" s="120">
        <f t="shared" si="45"/>
        <v>1.7500000000000004</v>
      </c>
      <c r="BZ34" s="120" t="str">
        <f t="shared" si="46"/>
        <v>n/a</v>
      </c>
      <c r="CA34" s="120">
        <f t="shared" si="47"/>
        <v>0.020982695967036526</v>
      </c>
      <c r="CB34" s="164">
        <f t="shared" si="48"/>
        <v>1.770982695967037</v>
      </c>
      <c r="CC34" s="120">
        <f t="shared" si="49"/>
        <v>10</v>
      </c>
      <c r="CD34" s="120" t="str">
        <f t="shared" si="50"/>
        <v>n/a</v>
      </c>
      <c r="CE34" s="159">
        <f t="shared" si="51"/>
        <v>1.468788717692557</v>
      </c>
      <c r="CF34" s="138"/>
      <c r="CG34" s="226" t="str">
        <f t="shared" si="135"/>
        <v>PC13:Fuels</v>
      </c>
      <c r="CH34" s="227" t="str">
        <f t="shared" si="136"/>
        <v>Liquid - subcategories added: Automotive Refuelling</v>
      </c>
      <c r="CI34" s="120">
        <f t="shared" si="52"/>
        <v>35.00000000000001</v>
      </c>
      <c r="CJ34" s="120" t="str">
        <f t="shared" si="53"/>
        <v>n/a</v>
      </c>
      <c r="CK34" s="120">
        <f t="shared" si="54"/>
        <v>1.468788717692557</v>
      </c>
      <c r="CL34" s="124"/>
      <c r="CM34" s="165">
        <f t="shared" si="55"/>
        <v>350.00000000000006</v>
      </c>
      <c r="CN34" s="165" t="str">
        <f t="shared" si="56"/>
        <v>n/a</v>
      </c>
      <c r="CO34" s="165">
        <f t="shared" si="57"/>
        <v>2.937577435385114</v>
      </c>
      <c r="CP34" s="598">
        <f>IF(SUM(CM34:CO34)&lt;$BZ$4,"",adjustparameter($AB34,0.01,SUM(CM34,CN34,CO34)/$AB34,$BZ$4))</f>
        <v>0.01</v>
      </c>
      <c r="CQ34" s="166">
        <f t="shared" si="58"/>
        <v>0.99</v>
      </c>
      <c r="CR34" s="599">
        <f>IF($CK34="n/a","",IF(SUM(CM34:CO34)&lt;$BZ$4,"",adjustparameter($AO34,0.5*$AO34,SUM(SUM(CO34)*CP34/$AB34/$AO34),($BZ$4-SUM(CM34:CN34)*CP34/$AB34))))</f>
        <v>18750</v>
      </c>
      <c r="CS34" s="166">
        <f t="shared" si="59"/>
        <v>0.5</v>
      </c>
      <c r="CT34" s="124"/>
      <c r="CU34" s="166">
        <f t="shared" si="60"/>
      </c>
      <c r="CV34" s="124"/>
      <c r="CW34" s="166">
        <f t="shared" si="61"/>
      </c>
      <c r="CX34" s="595">
        <f t="shared" si="62"/>
      </c>
      <c r="CY34" s="165">
        <f>IF(CX34="","",VLOOKUP(CX34,Picklist!$C$2:$E$5,3))</f>
      </c>
      <c r="CZ34" s="594">
        <f t="shared" si="63"/>
      </c>
      <c r="DA34" s="165"/>
      <c r="DB34" s="166">
        <f t="shared" si="64"/>
      </c>
      <c r="DC34" s="165">
        <f t="shared" si="65"/>
        <v>0.35000000000000037</v>
      </c>
      <c r="DD34" s="165" t="str">
        <f t="shared" si="66"/>
        <v>n/a</v>
      </c>
      <c r="DE34" s="165">
        <f t="shared" si="67"/>
        <v>0.007343943588462791</v>
      </c>
      <c r="DF34" s="165">
        <f t="shared" si="68"/>
        <v>0.01750000000000002</v>
      </c>
      <c r="DG34" s="165" t="str">
        <f t="shared" si="69"/>
        <v>n/a</v>
      </c>
      <c r="DH34" s="165">
        <f t="shared" si="70"/>
        <v>0.00010491347983518273</v>
      </c>
      <c r="DI34" s="167">
        <f t="shared" si="71"/>
        <v>0.017604913479835203</v>
      </c>
      <c r="DJ34" s="165">
        <f t="shared" si="72"/>
        <v>3.5000000000000004</v>
      </c>
      <c r="DK34" s="165" t="str">
        <f t="shared" si="7"/>
        <v>n/a</v>
      </c>
      <c r="DL34" s="165">
        <f t="shared" si="73"/>
        <v>0.01468788717692557</v>
      </c>
      <c r="DM34" s="168">
        <f t="shared" si="74"/>
        <v>3.514687887176926</v>
      </c>
      <c r="DN34" s="169"/>
      <c r="DO34" s="165">
        <f t="shared" si="75"/>
        <v>35.00000000000001</v>
      </c>
      <c r="DP34" s="165" t="str">
        <f t="shared" si="76"/>
        <v>n/a</v>
      </c>
      <c r="DQ34" s="165">
        <f t="shared" si="77"/>
        <v>0.29375774353851136</v>
      </c>
      <c r="DR34" s="598">
        <f>IF(SUM(DO34:DQ34)&lt;$BZ$4,"",adjustparameter($AB34,0.01,SUM(DO34,DP34,DQ34)/$AB34,$BZ$4))</f>
        <v>0.025500260032945046</v>
      </c>
      <c r="DS34" s="166">
        <f t="shared" si="78"/>
        <v>0.974499739967055</v>
      </c>
      <c r="DT34" s="597">
        <f>IF($CK34="n/a","",IF(SUM(DO34:DQ34)&lt;$BZ$4,"",adjustparameter($AO34,0.5*$AO34,SUM(SUM(DQ34)*DR34/$AB34/$AO34),($BZ$4-SUM(DO34:DP34)*DR34/$AB34))))</f>
      </c>
      <c r="DU34" s="166">
        <f t="shared" si="8"/>
      </c>
      <c r="DV34" s="124"/>
      <c r="DW34" s="166">
        <f t="shared" si="79"/>
      </c>
      <c r="DX34" s="124"/>
      <c r="DY34" s="166">
        <f t="shared" si="80"/>
      </c>
      <c r="DZ34" s="595">
        <f t="shared" si="81"/>
      </c>
      <c r="EA34" s="165">
        <f>IF(DZ34="","",VLOOKUP(DZ34,Picklist!$C$2:$E$5,3))</f>
      </c>
      <c r="EB34" s="594">
        <f t="shared" si="82"/>
      </c>
      <c r="EC34" s="124"/>
      <c r="ED34" s="166">
        <f t="shared" si="83"/>
      </c>
      <c r="EE34" s="593">
        <f t="shared" si="84"/>
        <v>0.8925091011530764</v>
      </c>
      <c r="EF34" s="594" t="str">
        <f t="shared" si="85"/>
        <v>n/a</v>
      </c>
      <c r="EG34" s="594">
        <f t="shared" si="86"/>
        <v>0.037454494234616095</v>
      </c>
      <c r="EH34" s="165">
        <f t="shared" si="87"/>
        <v>0.04462545505765382</v>
      </c>
      <c r="EI34" s="165" t="str">
        <f t="shared" si="88"/>
        <v>n/a</v>
      </c>
      <c r="EJ34" s="165">
        <f t="shared" si="89"/>
        <v>0.0005350642033516585</v>
      </c>
      <c r="EK34" s="167">
        <f t="shared" si="90"/>
        <v>0.04516051926100548</v>
      </c>
      <c r="EL34" s="165">
        <f t="shared" si="91"/>
        <v>0.8925091011530768</v>
      </c>
      <c r="EM34" s="165" t="str">
        <f t="shared" si="9"/>
        <v>n/a</v>
      </c>
      <c r="EN34" s="165">
        <f t="shared" si="92"/>
        <v>0.007490898846923222</v>
      </c>
      <c r="EO34" s="168">
        <f t="shared" si="93"/>
        <v>0.9</v>
      </c>
      <c r="EP34" s="169"/>
      <c r="EQ34" s="165">
        <f t="shared" si="94"/>
        <v>7.000000000000002</v>
      </c>
      <c r="ER34" s="165" t="str">
        <f t="shared" si="95"/>
        <v>n/a</v>
      </c>
      <c r="ES34" s="165">
        <f t="shared" si="96"/>
        <v>0.05875154870770228</v>
      </c>
      <c r="ET34" s="596">
        <f>IF(SUM(EQ34:ES34)&lt;$BZ$4,"",adjustparameter($AB34,0.01,SUM(EQ34,ER34,ES34)/$AB34,$BZ$4))</f>
        <v>0.12750130016472522</v>
      </c>
      <c r="EU34" s="166">
        <f t="shared" si="97"/>
        <v>0.8724986998352748</v>
      </c>
      <c r="EV34" s="597">
        <f>IF($CK34="n/a","",IF(SUM(EQ34:ES34)&lt;$BZ$4,"",adjustparameter($AO34,0.5*$AO34,SUM(SUM(ES34)*ET34/$AB34/$AO34),($BZ$4-SUM(EQ34:ER34)*ET34/$AB34))))</f>
        <v>37499.99999999999</v>
      </c>
      <c r="EW34" s="166">
        <f t="shared" si="98"/>
        <v>1.940255363782247E-16</v>
      </c>
      <c r="EX34" s="124"/>
      <c r="EY34" s="166">
        <f t="shared" si="99"/>
      </c>
      <c r="EZ34" s="124"/>
      <c r="FA34" s="166">
        <f t="shared" si="100"/>
      </c>
      <c r="FB34" s="595">
        <f t="shared" si="101"/>
      </c>
      <c r="FC34" s="165">
        <f>IF(FB34="","",VLOOKUP(FB34,Picklist!$C$2:$E$5,3))</f>
      </c>
      <c r="FD34" s="594">
        <f t="shared" si="102"/>
      </c>
      <c r="FE34" s="124"/>
      <c r="FF34" s="166">
        <f t="shared" si="10"/>
      </c>
      <c r="FG34" s="593">
        <f t="shared" si="103"/>
        <v>4.462545505765382</v>
      </c>
      <c r="FH34" s="594" t="str">
        <f t="shared" si="104"/>
        <v>n/a</v>
      </c>
      <c r="FI34" s="594">
        <f t="shared" si="105"/>
        <v>0.18727247117308043</v>
      </c>
      <c r="FJ34" s="165">
        <f t="shared" si="106"/>
        <v>0.2231272752882691</v>
      </c>
      <c r="FK34" s="165" t="str">
        <f t="shared" si="107"/>
        <v>n/a</v>
      </c>
      <c r="FL34" s="165">
        <f t="shared" si="108"/>
        <v>0.002675321016758292</v>
      </c>
      <c r="FM34" s="167">
        <f t="shared" si="109"/>
        <v>0.2258025963050274</v>
      </c>
      <c r="FN34" s="165">
        <f t="shared" si="110"/>
        <v>0.8925091011530768</v>
      </c>
      <c r="FO34" s="165" t="str">
        <f t="shared" si="11"/>
        <v>n/a</v>
      </c>
      <c r="FP34" s="165">
        <f t="shared" si="111"/>
        <v>0.007490898846923221</v>
      </c>
      <c r="FQ34" s="168">
        <f t="shared" si="112"/>
        <v>0.9</v>
      </c>
      <c r="FR34" s="169"/>
      <c r="FS34" s="165">
        <f t="shared" si="113"/>
        <v>1.7500000000000004</v>
      </c>
      <c r="FT34" s="165" t="str">
        <f t="shared" si="114"/>
        <v>n/a</v>
      </c>
      <c r="FU34" s="165">
        <f t="shared" si="115"/>
        <v>0.01468788717692557</v>
      </c>
      <c r="FV34" s="596">
        <f>IF(SUM(FS34:FU34)&lt;$BZ$4,"",adjustparameter($AB34,0.01,SUM(FS34,FT34,FU34)/$AB34,$BZ$4))</f>
        <v>0.5100052006589009</v>
      </c>
      <c r="FW34" s="166">
        <f t="shared" si="116"/>
        <v>0.48999479934109913</v>
      </c>
      <c r="FX34" s="597">
        <f>IF($CK34="n/a","",IF(SUM(FS34:FU34)&lt;$BZ$4,"",adjustparameter($AO34,0.5*$AO34,SUM(SUM(FU34)*FV34/$AB34/$AO34),($BZ$4-SUM(FS34:FT34)*FV34/$AB34))))</f>
        <v>37499.99999999999</v>
      </c>
      <c r="FY34" s="166">
        <f t="shared" si="117"/>
        <v>1.940255363782247E-16</v>
      </c>
      <c r="FZ34" s="124"/>
      <c r="GA34" s="166">
        <f t="shared" si="118"/>
      </c>
      <c r="GB34" s="124"/>
      <c r="GC34" s="166">
        <f t="shared" si="119"/>
      </c>
      <c r="GD34" s="595">
        <f t="shared" si="120"/>
      </c>
      <c r="GE34" s="165">
        <f>IF(GD34="","",VLOOKUP(GD34,Picklist!$C$2:$E$5,3))</f>
      </c>
      <c r="GF34" s="594">
        <f t="shared" si="121"/>
      </c>
      <c r="GG34" s="124"/>
      <c r="GH34" s="166">
        <f t="shared" si="12"/>
      </c>
      <c r="GI34" s="593">
        <f t="shared" si="122"/>
        <v>17.850182023061535</v>
      </c>
      <c r="GJ34" s="594" t="str">
        <f t="shared" si="123"/>
        <v>n/a</v>
      </c>
      <c r="GK34" s="594">
        <f t="shared" si="124"/>
        <v>0.7490898846923221</v>
      </c>
      <c r="GL34" s="165">
        <f t="shared" si="125"/>
        <v>0.8925091011530768</v>
      </c>
      <c r="GM34" s="165" t="str">
        <f t="shared" si="126"/>
        <v>n/a</v>
      </c>
      <c r="GN34" s="165">
        <f t="shared" si="127"/>
        <v>0.010701284067033173</v>
      </c>
      <c r="GO34" s="167">
        <f t="shared" si="128"/>
        <v>0.90321038522011</v>
      </c>
      <c r="GP34" s="165">
        <f t="shared" si="129"/>
        <v>0.8925091011530768</v>
      </c>
      <c r="GQ34" s="165" t="str">
        <f t="shared" si="13"/>
        <v>n/a</v>
      </c>
      <c r="GR34" s="165">
        <f t="shared" si="130"/>
        <v>0.007490898846923221</v>
      </c>
      <c r="GS34" s="170">
        <f t="shared" si="131"/>
        <v>0.9</v>
      </c>
      <c r="GT34" s="138"/>
      <c r="GU34" s="138"/>
      <c r="GV34" s="138"/>
      <c r="GW34" s="138"/>
      <c r="GX34" s="138"/>
      <c r="GY34" s="138"/>
      <c r="GZ34" s="138"/>
      <c r="HA34" s="138"/>
      <c r="HB34" s="138"/>
      <c r="HC34" s="138"/>
      <c r="HD34" s="138"/>
      <c r="HE34" s="138"/>
      <c r="HF34" s="138"/>
      <c r="HG34" s="138"/>
      <c r="HH34" s="138"/>
      <c r="HI34" s="138"/>
      <c r="HJ34" s="138"/>
      <c r="HK34" s="138"/>
      <c r="HL34" s="138"/>
      <c r="HM34" s="138"/>
      <c r="HN34" s="138"/>
      <c r="HO34" s="138"/>
      <c r="HP34" s="138"/>
      <c r="HQ34" s="138"/>
      <c r="HR34" s="138"/>
      <c r="HS34" s="138"/>
      <c r="HT34" s="138"/>
      <c r="HU34" s="138"/>
      <c r="HV34" s="138"/>
      <c r="HW34" s="138"/>
      <c r="HX34" s="138"/>
      <c r="HY34" s="138"/>
      <c r="HZ34" s="138"/>
      <c r="IA34" s="138"/>
      <c r="IB34" s="138"/>
      <c r="IC34" s="138"/>
      <c r="ID34" s="138"/>
      <c r="IE34" s="138"/>
      <c r="IF34" s="138"/>
      <c r="IG34" s="138"/>
      <c r="IH34" s="138"/>
      <c r="II34" s="138"/>
      <c r="IJ34" s="138"/>
      <c r="IK34" s="138"/>
      <c r="IL34" s="138"/>
      <c r="IM34" s="138"/>
      <c r="IN34" s="138"/>
    </row>
    <row r="35" spans="1:248" s="228" customFormat="1" ht="118.5">
      <c r="A35" s="138"/>
      <c r="B35" s="145"/>
      <c r="C35" s="222" t="s">
        <v>387</v>
      </c>
      <c r="D35" s="223" t="s">
        <v>36</v>
      </c>
      <c r="E35" s="224" t="s">
        <v>143</v>
      </c>
      <c r="F35" s="209">
        <v>0.5</v>
      </c>
      <c r="G35" s="128" t="s">
        <v>388</v>
      </c>
      <c r="H35" s="225"/>
      <c r="I35" s="128" t="s">
        <v>388</v>
      </c>
      <c r="J35" s="128" t="s">
        <v>139</v>
      </c>
      <c r="K35" s="128">
        <v>1</v>
      </c>
      <c r="L35" s="128">
        <v>857.5</v>
      </c>
      <c r="M35" s="225"/>
      <c r="N35" s="128">
        <v>5000</v>
      </c>
      <c r="O35" s="128">
        <v>20</v>
      </c>
      <c r="P35" s="210">
        <v>4</v>
      </c>
      <c r="Q35" s="151">
        <f t="shared" si="14"/>
        <v>71.45833333333334</v>
      </c>
      <c r="R35" s="132" t="str">
        <f t="shared" si="15"/>
        <v>n/a</v>
      </c>
      <c r="S35" s="143">
        <f t="shared" si="16"/>
        <v>11416.666666666668</v>
      </c>
      <c r="T35" s="143">
        <f t="shared" si="17"/>
        <v>125000</v>
      </c>
      <c r="U35" s="143">
        <f t="shared" si="18"/>
        <v>125000</v>
      </c>
      <c r="V35" s="152">
        <f t="shared" si="19"/>
        <v>11488.125000000002</v>
      </c>
      <c r="W35" s="153">
        <f t="shared" si="20"/>
        <v>3.572916666666667</v>
      </c>
      <c r="X35" s="154" t="str">
        <f t="shared" si="21"/>
        <v>n/a</v>
      </c>
      <c r="Y35" s="154" t="str">
        <f t="shared" si="22"/>
        <v>n/a</v>
      </c>
      <c r="Z35" s="154">
        <f t="shared" si="23"/>
        <v>1785.7142857142858</v>
      </c>
      <c r="AA35" s="155">
        <f t="shared" si="24"/>
        <v>1789.2872023809525</v>
      </c>
      <c r="AB35" s="113">
        <v>1</v>
      </c>
      <c r="AC35" s="105" t="s">
        <v>229</v>
      </c>
      <c r="AD35" s="609">
        <v>1</v>
      </c>
      <c r="AE35" s="127" t="s">
        <v>640</v>
      </c>
      <c r="AF35" s="105">
        <v>210</v>
      </c>
      <c r="AG35" s="127" t="s">
        <v>146</v>
      </c>
      <c r="AH35" s="105"/>
      <c r="AI35" s="105"/>
      <c r="AJ35" s="305"/>
      <c r="AK35" s="306"/>
      <c r="AL35" s="127"/>
      <c r="AM35" s="571"/>
      <c r="AN35" s="193"/>
      <c r="AO35" s="114">
        <f>((5*750)/1000)*1000</f>
        <v>3750</v>
      </c>
      <c r="AP35" s="81" t="s">
        <v>148</v>
      </c>
      <c r="AQ35" s="315">
        <v>0.02</v>
      </c>
      <c r="AR35" s="81" t="s">
        <v>149</v>
      </c>
      <c r="AS35" s="129" t="s">
        <v>499</v>
      </c>
      <c r="AT35" s="578">
        <f t="shared" si="25"/>
        <v>2.5</v>
      </c>
      <c r="AU35" s="603" t="s">
        <v>668</v>
      </c>
      <c r="AV35" s="131">
        <f t="shared" si="26"/>
        <v>0.9598613593114602</v>
      </c>
      <c r="AW35" s="156">
        <f t="shared" si="137"/>
        <v>100</v>
      </c>
      <c r="AX35" s="156" t="str">
        <f t="shared" si="138"/>
        <v>Stoffenmanager volume used for outdoors</v>
      </c>
      <c r="AY35" s="127">
        <v>0.033</v>
      </c>
      <c r="AZ35" s="159" t="s">
        <v>157</v>
      </c>
      <c r="BA35" s="125">
        <f t="shared" si="0"/>
        <v>35.00000000000001</v>
      </c>
      <c r="BB35" s="125">
        <f t="shared" si="1"/>
        <v>35.00000000000001</v>
      </c>
      <c r="BC35" s="120">
        <f t="shared" si="27"/>
        <v>10</v>
      </c>
      <c r="BD35" s="120" t="str">
        <f t="shared" si="2"/>
        <v>n/a</v>
      </c>
      <c r="BE35" s="120" t="str">
        <f t="shared" si="3"/>
        <v>n/a</v>
      </c>
      <c r="BF35" s="120">
        <f t="shared" si="4"/>
        <v>0.542441650680889</v>
      </c>
      <c r="BG35" s="120">
        <f t="shared" si="28"/>
        <v>719.8960194835952</v>
      </c>
      <c r="BH35" s="120">
        <f t="shared" si="29"/>
      </c>
      <c r="BI35" s="120">
        <f t="shared" si="5"/>
        <v>0.9898570267899434</v>
      </c>
      <c r="BJ35" s="158">
        <f t="shared" si="30"/>
        <v>0.9898570267899434</v>
      </c>
      <c r="BK35" s="159">
        <f t="shared" si="31"/>
        <v>35.5424416506809</v>
      </c>
      <c r="BL35" s="160" t="str">
        <f t="shared" si="32"/>
        <v>n/a</v>
      </c>
      <c r="BM35" s="161" t="str">
        <f t="shared" si="33"/>
        <v>n/a</v>
      </c>
      <c r="BN35" s="161">
        <f t="shared" si="34"/>
        <v>1.7500000000000004</v>
      </c>
      <c r="BO35" s="162" t="str">
        <f t="shared" si="35"/>
        <v>n/a</v>
      </c>
      <c r="BP35" s="161">
        <f t="shared" si="36"/>
        <v>0.014140814668427763</v>
      </c>
      <c r="BQ35" s="162">
        <f t="shared" si="37"/>
        <v>1.7641408146684283</v>
      </c>
      <c r="BR35" s="161">
        <f t="shared" si="38"/>
        <v>1.7500000000000004</v>
      </c>
      <c r="BS35" s="161" t="str">
        <f t="shared" si="39"/>
        <v>n/a</v>
      </c>
      <c r="BT35" s="161">
        <f t="shared" si="40"/>
        <v>0.014140814668427763</v>
      </c>
      <c r="BU35" s="161">
        <f t="shared" si="41"/>
        <v>1.7641408146684283</v>
      </c>
      <c r="BV35" s="163" t="str">
        <f t="shared" si="42"/>
        <v>Unless otherwise stated, covers concentrations up to 100% [ConsOC1]; covers use up to 364 days/year[ConsOC3]; covers use up to 1 time/on day of use[ConsOC4]; covers skin contact area up to 210,00 cm2 [ConsOC5]; for each use event, covers use amounts up to 3750g [ConsOC2]; covers outdoor use [ConsOC12]; covers use in room size of 100m3[ConsOC11]; for each use event, covers exposure up to 0,03hr/event[ConsOC14]; </v>
      </c>
      <c r="BW35" s="126" t="str">
        <f t="shared" si="43"/>
        <v>No specific RMMs developed beyond those OCs stated</v>
      </c>
      <c r="BX35" s="125" t="str">
        <f t="shared" si="44"/>
        <v>Based upon daily use</v>
      </c>
      <c r="BY35" s="120">
        <f t="shared" si="45"/>
        <v>1.7500000000000004</v>
      </c>
      <c r="BZ35" s="120" t="str">
        <f t="shared" si="46"/>
        <v>n/a</v>
      </c>
      <c r="CA35" s="120">
        <f t="shared" si="47"/>
        <v>0.014140814668427763</v>
      </c>
      <c r="CB35" s="164">
        <f t="shared" si="48"/>
        <v>1.7641408146684283</v>
      </c>
      <c r="CC35" s="120">
        <f t="shared" si="49"/>
        <v>10</v>
      </c>
      <c r="CD35" s="120" t="str">
        <f t="shared" si="50"/>
        <v>n/a</v>
      </c>
      <c r="CE35" s="159">
        <f t="shared" si="51"/>
        <v>0.9898570267899434</v>
      </c>
      <c r="CF35" s="138"/>
      <c r="CG35" s="226" t="str">
        <f t="shared" si="135"/>
        <v>PC13:Fuels</v>
      </c>
      <c r="CH35" s="227" t="str">
        <f t="shared" si="136"/>
        <v>Liquid - subcategories added: Scooter Refuelling</v>
      </c>
      <c r="CI35" s="120">
        <f t="shared" si="52"/>
        <v>35.00000000000001</v>
      </c>
      <c r="CJ35" s="120" t="str">
        <f t="shared" si="53"/>
        <v>n/a</v>
      </c>
      <c r="CK35" s="120">
        <f t="shared" si="54"/>
        <v>0.9898570267899434</v>
      </c>
      <c r="CL35" s="124"/>
      <c r="CM35" s="165">
        <f t="shared" si="55"/>
        <v>350.00000000000006</v>
      </c>
      <c r="CN35" s="165" t="str">
        <f t="shared" si="56"/>
        <v>n/a</v>
      </c>
      <c r="CO35" s="165">
        <f t="shared" si="57"/>
        <v>1.9797140535798867</v>
      </c>
      <c r="CP35" s="598">
        <f>IF(SUM(CM35:CO35)&lt;$BZ$4,"",adjustparameter($AB35,0.01,SUM(CM35,CN35,CO35)/$AB35,$BZ$4))</f>
        <v>0.01</v>
      </c>
      <c r="CQ35" s="166">
        <f t="shared" si="58"/>
        <v>0.99</v>
      </c>
      <c r="CR35" s="599">
        <f>IF($CK35="n/a","",IF(SUM(CM35:CO35)&lt;$BZ$4,"",adjustparameter($AO35,0.5*$AO35,SUM(SUM(CO35)*CP35/$AB35/$AO35),($BZ$4-SUM(CM35:CN35)*CP35/$AB35))))</f>
        <v>1875</v>
      </c>
      <c r="CS35" s="166">
        <f t="shared" si="59"/>
        <v>0.5</v>
      </c>
      <c r="CT35" s="124"/>
      <c r="CU35" s="166">
        <f t="shared" si="60"/>
      </c>
      <c r="CV35" s="124"/>
      <c r="CW35" s="166">
        <f t="shared" si="61"/>
      </c>
      <c r="CX35" s="595">
        <f t="shared" si="62"/>
      </c>
      <c r="CY35" s="165">
        <f>IF(CX35="","",VLOOKUP(CX35,Picklist!$C$2:$E$5,3))</f>
      </c>
      <c r="CZ35" s="594">
        <f t="shared" si="63"/>
      </c>
      <c r="DA35" s="165"/>
      <c r="DB35" s="166">
        <f t="shared" si="64"/>
      </c>
      <c r="DC35" s="165">
        <f t="shared" si="65"/>
        <v>0.35000000000000037</v>
      </c>
      <c r="DD35" s="165" t="str">
        <f t="shared" si="66"/>
        <v>n/a</v>
      </c>
      <c r="DE35" s="165">
        <f t="shared" si="67"/>
        <v>0.004949285133949721</v>
      </c>
      <c r="DF35" s="165">
        <f t="shared" si="68"/>
        <v>0.01750000000000002</v>
      </c>
      <c r="DG35" s="165" t="str">
        <f t="shared" si="69"/>
        <v>n/a</v>
      </c>
      <c r="DH35" s="165">
        <f t="shared" si="70"/>
        <v>7.070407334213887E-05</v>
      </c>
      <c r="DI35" s="167">
        <f t="shared" si="71"/>
        <v>0.017570704073342158</v>
      </c>
      <c r="DJ35" s="165">
        <f t="shared" si="72"/>
        <v>3.5000000000000004</v>
      </c>
      <c r="DK35" s="165" t="str">
        <f t="shared" si="7"/>
        <v>n/a</v>
      </c>
      <c r="DL35" s="165">
        <f t="shared" si="73"/>
        <v>0.009898570267899434</v>
      </c>
      <c r="DM35" s="168">
        <f t="shared" si="74"/>
        <v>3.5098985702678998</v>
      </c>
      <c r="DN35" s="169"/>
      <c r="DO35" s="165">
        <f t="shared" si="75"/>
        <v>35.00000000000001</v>
      </c>
      <c r="DP35" s="165" t="str">
        <f t="shared" si="76"/>
        <v>n/a</v>
      </c>
      <c r="DQ35" s="165">
        <f t="shared" si="77"/>
        <v>0.19797140535798868</v>
      </c>
      <c r="DR35" s="598">
        <f>IF(SUM(DO35:DQ35)&lt;$BZ$4,"",adjustparameter($AB35,0.01,SUM(DO35,DP35,DQ35)/$AB35,$BZ$4))</f>
        <v>0.0255696554109649</v>
      </c>
      <c r="DS35" s="166">
        <f t="shared" si="78"/>
        <v>0.9744303445890351</v>
      </c>
      <c r="DT35" s="597">
        <f>IF($CK35="n/a","",IF(SUM(DO35:DQ35)&lt;$BZ$4,"",adjustparameter($AO35,0.5*$AO35,SUM(SUM(DQ35)*DR35/$AB35/$AO35),($BZ$4-SUM(DO35:DP35)*DR35/$AB35))))</f>
      </c>
      <c r="DU35" s="166">
        <f t="shared" si="8"/>
      </c>
      <c r="DV35" s="124"/>
      <c r="DW35" s="166">
        <f t="shared" si="79"/>
      </c>
      <c r="DX35" s="124"/>
      <c r="DY35" s="166">
        <f t="shared" si="80"/>
      </c>
      <c r="DZ35" s="595">
        <f t="shared" si="81"/>
      </c>
      <c r="EA35" s="165">
        <f>IF(DZ35="","",VLOOKUP(DZ35,Picklist!$C$2:$E$5,3))</f>
      </c>
      <c r="EB35" s="594">
        <f t="shared" si="82"/>
      </c>
      <c r="EC35" s="124"/>
      <c r="ED35" s="166">
        <f t="shared" si="83"/>
      </c>
      <c r="EE35" s="593">
        <f t="shared" si="84"/>
        <v>0.8949379393837716</v>
      </c>
      <c r="EF35" s="594" t="str">
        <f t="shared" si="85"/>
        <v>n/a</v>
      </c>
      <c r="EG35" s="594">
        <f t="shared" si="86"/>
        <v>0.0253103030811411</v>
      </c>
      <c r="EH35" s="165">
        <f t="shared" si="87"/>
        <v>0.044746896969188585</v>
      </c>
      <c r="EI35" s="165" t="str">
        <f t="shared" si="88"/>
        <v>n/a</v>
      </c>
      <c r="EJ35" s="165">
        <f t="shared" si="89"/>
        <v>0.00036157575830201574</v>
      </c>
      <c r="EK35" s="167">
        <f t="shared" si="90"/>
        <v>0.0451084727274906</v>
      </c>
      <c r="EL35" s="165">
        <f t="shared" si="91"/>
        <v>0.8949379393837718</v>
      </c>
      <c r="EM35" s="165" t="str">
        <f t="shared" si="9"/>
        <v>n/a</v>
      </c>
      <c r="EN35" s="165">
        <f t="shared" si="92"/>
        <v>0.005062060616228221</v>
      </c>
      <c r="EO35" s="168">
        <f t="shared" si="93"/>
        <v>0.9</v>
      </c>
      <c r="EP35" s="169"/>
      <c r="EQ35" s="165">
        <f t="shared" si="94"/>
        <v>7.000000000000002</v>
      </c>
      <c r="ER35" s="165" t="str">
        <f t="shared" si="95"/>
        <v>n/a</v>
      </c>
      <c r="ES35" s="165">
        <f t="shared" si="96"/>
        <v>0.03959428107159774</v>
      </c>
      <c r="ET35" s="596">
        <f>IF(SUM(EQ35:ES35)&lt;$BZ$4,"",adjustparameter($AB35,0.01,SUM(EQ35,ER35,ES35)/$AB35,$BZ$4))</f>
        <v>0.12784827705482452</v>
      </c>
      <c r="EU35" s="166">
        <f t="shared" si="97"/>
        <v>0.8721517229451755</v>
      </c>
      <c r="EV35" s="597">
        <f>IF($CK35="n/a","",IF(SUM(EQ35:ES35)&lt;$BZ$4,"",adjustparameter($AO35,0.5*$AO35,SUM(SUM(ES35)*ET35/$AB35/$AO35),($BZ$4-SUM(EQ35:ER35)*ET35/$AB35))))</f>
        <v>3749.9999999999536</v>
      </c>
      <c r="EW35" s="166">
        <f t="shared" si="98"/>
        <v>1.2369127944111823E-14</v>
      </c>
      <c r="EX35" s="124"/>
      <c r="EY35" s="166">
        <f t="shared" si="99"/>
      </c>
      <c r="EZ35" s="124"/>
      <c r="FA35" s="166">
        <f t="shared" si="100"/>
      </c>
      <c r="FB35" s="595">
        <f t="shared" si="101"/>
      </c>
      <c r="FC35" s="165">
        <f>IF(FB35="","",VLOOKUP(FB35,Picklist!$C$2:$E$5,3))</f>
      </c>
      <c r="FD35" s="594">
        <f t="shared" si="102"/>
      </c>
      <c r="FE35" s="124"/>
      <c r="FF35" s="166">
        <f t="shared" si="10"/>
      </c>
      <c r="FG35" s="593">
        <f t="shared" si="103"/>
        <v>4.474689696918858</v>
      </c>
      <c r="FH35" s="594" t="str">
        <f t="shared" si="104"/>
        <v>n/a</v>
      </c>
      <c r="FI35" s="594">
        <f t="shared" si="105"/>
        <v>0.12655151540570395</v>
      </c>
      <c r="FJ35" s="165">
        <f t="shared" si="106"/>
        <v>0.2237344848459429</v>
      </c>
      <c r="FK35" s="165" t="str">
        <f t="shared" si="107"/>
        <v>n/a</v>
      </c>
      <c r="FL35" s="165">
        <f t="shared" si="108"/>
        <v>0.0018078787915100565</v>
      </c>
      <c r="FM35" s="167">
        <f t="shared" si="109"/>
        <v>0.22554236363745298</v>
      </c>
      <c r="FN35" s="165">
        <f t="shared" si="110"/>
        <v>0.8949379393837719</v>
      </c>
      <c r="FO35" s="165" t="str">
        <f t="shared" si="11"/>
        <v>n/a</v>
      </c>
      <c r="FP35" s="165">
        <f t="shared" si="111"/>
        <v>0.005062060616228159</v>
      </c>
      <c r="FQ35" s="168">
        <f t="shared" si="112"/>
        <v>0.9</v>
      </c>
      <c r="FR35" s="169"/>
      <c r="FS35" s="165">
        <f t="shared" si="113"/>
        <v>1.7500000000000004</v>
      </c>
      <c r="FT35" s="165" t="str">
        <f t="shared" si="114"/>
        <v>n/a</v>
      </c>
      <c r="FU35" s="165">
        <f t="shared" si="115"/>
        <v>0.009898570267899434</v>
      </c>
      <c r="FV35" s="596">
        <f>IF(SUM(FS35:FU35)&lt;$BZ$4,"",adjustparameter($AB35,0.01,SUM(FS35,FT35,FU35)/$AB35,$BZ$4))</f>
        <v>0.5113931082192981</v>
      </c>
      <c r="FW35" s="166">
        <f t="shared" si="116"/>
        <v>0.48860689178070194</v>
      </c>
      <c r="FX35" s="597">
        <f>IF($CK35="n/a","",IF(SUM(FS35:FU35)&lt;$BZ$4,"",adjustparameter($AO35,0.5*$AO35,SUM(SUM(FU35)*FV35/$AB35/$AO35),($BZ$4-SUM(FS35:FT35)*FV35/$AB35))))</f>
        <v>3749.9999999999536</v>
      </c>
      <c r="FY35" s="166">
        <f t="shared" si="117"/>
        <v>1.2369127944111823E-14</v>
      </c>
      <c r="FZ35" s="124"/>
      <c r="GA35" s="166">
        <f t="shared" si="118"/>
      </c>
      <c r="GB35" s="124"/>
      <c r="GC35" s="166">
        <f t="shared" si="119"/>
      </c>
      <c r="GD35" s="595">
        <f t="shared" si="120"/>
      </c>
      <c r="GE35" s="165">
        <f>IF(GD35="","",VLOOKUP(GD35,Picklist!$C$2:$E$5,3))</f>
      </c>
      <c r="GF35" s="594">
        <f t="shared" si="121"/>
      </c>
      <c r="GG35" s="124"/>
      <c r="GH35" s="166">
        <f t="shared" si="12"/>
      </c>
      <c r="GI35" s="593">
        <f t="shared" si="122"/>
        <v>17.898758787675437</v>
      </c>
      <c r="GJ35" s="594" t="str">
        <f t="shared" si="123"/>
        <v>n/a</v>
      </c>
      <c r="GK35" s="594">
        <f t="shared" si="124"/>
        <v>0.5062060616228159</v>
      </c>
      <c r="GL35" s="165">
        <f t="shared" si="125"/>
        <v>0.8949379393837719</v>
      </c>
      <c r="GM35" s="165" t="str">
        <f t="shared" si="126"/>
        <v>n/a</v>
      </c>
      <c r="GN35" s="165">
        <f t="shared" si="127"/>
        <v>0.007231515166040227</v>
      </c>
      <c r="GO35" s="167">
        <f t="shared" si="128"/>
        <v>0.9021694545498121</v>
      </c>
      <c r="GP35" s="165">
        <f t="shared" si="129"/>
        <v>0.8949379393837719</v>
      </c>
      <c r="GQ35" s="165" t="str">
        <f t="shared" si="13"/>
        <v>n/a</v>
      </c>
      <c r="GR35" s="165">
        <f t="shared" si="130"/>
        <v>0.005062060616228159</v>
      </c>
      <c r="GS35" s="170">
        <f t="shared" si="131"/>
        <v>0.9</v>
      </c>
      <c r="GT35" s="138"/>
      <c r="GU35" s="138"/>
      <c r="GV35" s="138"/>
      <c r="GW35" s="138"/>
      <c r="GX35" s="138"/>
      <c r="GY35" s="138"/>
      <c r="GZ35" s="138"/>
      <c r="HA35" s="138"/>
      <c r="HB35" s="138"/>
      <c r="HC35" s="138"/>
      <c r="HD35" s="138"/>
      <c r="HE35" s="138"/>
      <c r="HF35" s="138"/>
      <c r="HG35" s="138"/>
      <c r="HH35" s="138"/>
      <c r="HI35" s="138"/>
      <c r="HJ35" s="138"/>
      <c r="HK35" s="138"/>
      <c r="HL35" s="138"/>
      <c r="HM35" s="138"/>
      <c r="HN35" s="138"/>
      <c r="HO35" s="138"/>
      <c r="HP35" s="138"/>
      <c r="HQ35" s="138"/>
      <c r="HR35" s="138"/>
      <c r="HS35" s="138"/>
      <c r="HT35" s="138"/>
      <c r="HU35" s="138"/>
      <c r="HV35" s="138"/>
      <c r="HW35" s="138"/>
      <c r="HX35" s="138"/>
      <c r="HY35" s="138"/>
      <c r="HZ35" s="138"/>
      <c r="IA35" s="138"/>
      <c r="IB35" s="138"/>
      <c r="IC35" s="138"/>
      <c r="ID35" s="138"/>
      <c r="IE35" s="138"/>
      <c r="IF35" s="138"/>
      <c r="IG35" s="138"/>
      <c r="IH35" s="138"/>
      <c r="II35" s="138"/>
      <c r="IJ35" s="138"/>
      <c r="IK35" s="138"/>
      <c r="IL35" s="138"/>
      <c r="IM35" s="138"/>
      <c r="IN35" s="138"/>
    </row>
    <row r="36" spans="1:248" s="228" customFormat="1" ht="105">
      <c r="A36" s="138"/>
      <c r="B36" s="145"/>
      <c r="C36" s="222" t="s">
        <v>387</v>
      </c>
      <c r="D36" s="223" t="s">
        <v>36</v>
      </c>
      <c r="E36" s="224" t="s">
        <v>144</v>
      </c>
      <c r="F36" s="209">
        <v>0.5</v>
      </c>
      <c r="G36" s="128"/>
      <c r="H36" s="225"/>
      <c r="I36" s="128" t="s">
        <v>388</v>
      </c>
      <c r="J36" s="128" t="s">
        <v>139</v>
      </c>
      <c r="K36" s="128">
        <v>1</v>
      </c>
      <c r="L36" s="128">
        <v>857.5</v>
      </c>
      <c r="M36" s="225"/>
      <c r="N36" s="128">
        <v>5000</v>
      </c>
      <c r="O36" s="128">
        <v>20</v>
      </c>
      <c r="P36" s="210">
        <v>4</v>
      </c>
      <c r="Q36" s="151" t="str">
        <f t="shared" si="14"/>
        <v>n/a</v>
      </c>
      <c r="R36" s="132" t="str">
        <f t="shared" si="15"/>
        <v>n/a</v>
      </c>
      <c r="S36" s="143">
        <f t="shared" si="16"/>
        <v>11416.666666666668</v>
      </c>
      <c r="T36" s="143">
        <f t="shared" si="17"/>
        <v>125000</v>
      </c>
      <c r="U36" s="143">
        <f t="shared" si="18"/>
        <v>125000</v>
      </c>
      <c r="V36" s="152">
        <f t="shared" si="19"/>
        <v>11416.666666666668</v>
      </c>
      <c r="W36" s="153" t="str">
        <f t="shared" si="20"/>
        <v>n/a</v>
      </c>
      <c r="X36" s="154" t="str">
        <f t="shared" si="21"/>
        <v>n/a</v>
      </c>
      <c r="Y36" s="154" t="str">
        <f t="shared" si="22"/>
        <v>n/a</v>
      </c>
      <c r="Z36" s="154">
        <f t="shared" si="23"/>
        <v>1785.7142857142858</v>
      </c>
      <c r="AA36" s="155">
        <f t="shared" si="24"/>
        <v>1785.7142857142858</v>
      </c>
      <c r="AB36" s="113">
        <v>1</v>
      </c>
      <c r="AC36" s="105" t="s">
        <v>229</v>
      </c>
      <c r="AD36" s="609">
        <v>0.2</v>
      </c>
      <c r="AE36" s="127" t="s">
        <v>152</v>
      </c>
      <c r="AF36" s="105"/>
      <c r="AG36" s="127"/>
      <c r="AH36" s="105"/>
      <c r="AI36" s="105"/>
      <c r="AJ36" s="104"/>
      <c r="AK36" s="104"/>
      <c r="AL36" s="127"/>
      <c r="AM36" s="571"/>
      <c r="AN36" s="193"/>
      <c r="AO36" s="114">
        <f>((1*750)/1000)*1000</f>
        <v>750</v>
      </c>
      <c r="AP36" s="114" t="s">
        <v>155</v>
      </c>
      <c r="AQ36" s="315">
        <v>0.02</v>
      </c>
      <c r="AR36" s="114" t="s">
        <v>170</v>
      </c>
      <c r="AS36" s="129" t="s">
        <v>499</v>
      </c>
      <c r="AT36" s="578">
        <f t="shared" si="25"/>
        <v>2.5</v>
      </c>
      <c r="AU36" s="603" t="s">
        <v>668</v>
      </c>
      <c r="AV36" s="131">
        <f t="shared" si="26"/>
        <v>0.1986524106001829</v>
      </c>
      <c r="AW36" s="156">
        <f t="shared" si="137"/>
        <v>100</v>
      </c>
      <c r="AX36" s="156" t="str">
        <f t="shared" si="138"/>
        <v>Stoffenmanager volume used for outdoors</v>
      </c>
      <c r="AY36" s="229">
        <v>2</v>
      </c>
      <c r="AZ36" s="200" t="s">
        <v>151</v>
      </c>
      <c r="BA36" s="125" t="str">
        <f t="shared" si="0"/>
        <v>n/a</v>
      </c>
      <c r="BB36" s="125" t="str">
        <f t="shared" si="1"/>
        <v>n/a</v>
      </c>
      <c r="BC36" s="120" t="str">
        <f t="shared" si="27"/>
        <v>n/a</v>
      </c>
      <c r="BD36" s="120" t="str">
        <f t="shared" si="2"/>
        <v>n/a</v>
      </c>
      <c r="BE36" s="120" t="str">
        <f t="shared" si="3"/>
        <v>n/a</v>
      </c>
      <c r="BF36" s="120">
        <f t="shared" si="4"/>
        <v>1.360769012611253</v>
      </c>
      <c r="BG36" s="120">
        <f t="shared" si="28"/>
        <v>29.797861590027438</v>
      </c>
      <c r="BH36" s="120">
        <f t="shared" si="29"/>
      </c>
      <c r="BI36" s="120">
        <f t="shared" si="5"/>
        <v>2.4831551325022865</v>
      </c>
      <c r="BJ36" s="158">
        <f t="shared" si="30"/>
        <v>0.4966310265004574</v>
      </c>
      <c r="BK36" s="159">
        <f t="shared" si="31"/>
        <v>1.360769012611253</v>
      </c>
      <c r="BL36" s="160" t="str">
        <f t="shared" si="32"/>
        <v>n/a</v>
      </c>
      <c r="BM36" s="161" t="str">
        <f t="shared" si="33"/>
        <v>n/a</v>
      </c>
      <c r="BN36" s="161" t="str">
        <f t="shared" si="34"/>
        <v>n/a</v>
      </c>
      <c r="BO36" s="162" t="str">
        <f t="shared" si="35"/>
        <v>n/a</v>
      </c>
      <c r="BP36" s="161">
        <f t="shared" si="36"/>
        <v>0.03547364475003267</v>
      </c>
      <c r="BQ36" s="162">
        <f t="shared" si="37"/>
        <v>0.03547364475003267</v>
      </c>
      <c r="BR36" s="161" t="str">
        <f t="shared" si="38"/>
        <v>n/a</v>
      </c>
      <c r="BS36" s="161" t="str">
        <f t="shared" si="39"/>
        <v>n/a</v>
      </c>
      <c r="BT36" s="161">
        <f t="shared" si="40"/>
        <v>0.007094728950006534</v>
      </c>
      <c r="BU36" s="161">
        <f t="shared" si="41"/>
        <v>0.007094728950006534</v>
      </c>
      <c r="BV36" s="163" t="str">
        <f t="shared" si="42"/>
        <v>Unless otherwise stated, covers concentrations up to 100% [ConsOC1]; covers use up to 51 days/year[ConsOC3]; covers use up to 1 time/on day of use[ConsOC4]; for each use event, covers use amounts up to 750g [ConsOC2]; covers outdoor use [ConsOC12]; covers use in room size of 100m3[ConsOC11]; for each use event, covers exposure up to 2,00hr/event[ConsOC14]; </v>
      </c>
      <c r="BW36" s="126" t="str">
        <f t="shared" si="43"/>
        <v>No specific RMMs developed beyond those OCs stated</v>
      </c>
      <c r="BX36" s="125" t="str">
        <f t="shared" si="44"/>
        <v>Based upon daily use</v>
      </c>
      <c r="BY36" s="120" t="str">
        <f t="shared" si="45"/>
        <v>n/a</v>
      </c>
      <c r="BZ36" s="120" t="str">
        <f t="shared" si="46"/>
        <v>n/a</v>
      </c>
      <c r="CA36" s="120">
        <f t="shared" si="47"/>
        <v>0.03547364475003267</v>
      </c>
      <c r="CB36" s="164">
        <f t="shared" si="48"/>
        <v>0.03547364475003267</v>
      </c>
      <c r="CC36" s="120" t="str">
        <f t="shared" si="49"/>
        <v>n/a</v>
      </c>
      <c r="CD36" s="120" t="str">
        <f t="shared" si="50"/>
        <v>n/a</v>
      </c>
      <c r="CE36" s="159">
        <f t="shared" si="51"/>
        <v>2.4831551325022865</v>
      </c>
      <c r="CF36" s="138"/>
      <c r="CG36" s="226" t="str">
        <f t="shared" si="135"/>
        <v>PC13:Fuels</v>
      </c>
      <c r="CH36" s="227" t="str">
        <f t="shared" si="136"/>
        <v>Liquid - subcategories added: Garden Equipment - Use</v>
      </c>
      <c r="CI36" s="120" t="str">
        <f t="shared" si="52"/>
        <v>n/a</v>
      </c>
      <c r="CJ36" s="120" t="str">
        <f t="shared" si="53"/>
        <v>n/a</v>
      </c>
      <c r="CK36" s="120">
        <f t="shared" si="54"/>
        <v>0.4966310265004574</v>
      </c>
      <c r="CL36" s="124"/>
      <c r="CM36" s="165" t="str">
        <f t="shared" si="55"/>
        <v>n/a</v>
      </c>
      <c r="CN36" s="165" t="str">
        <f t="shared" si="56"/>
        <v>n/a</v>
      </c>
      <c r="CO36" s="165">
        <f t="shared" si="57"/>
        <v>0.9932620530009147</v>
      </c>
      <c r="CP36" s="598">
        <f>IF(SUM(CM36:CO36)&lt;$BZ$4,"",adjustparameter($AB36,0.01,SUM(CM36,CN36,CO36)/$AB36,$BZ$4))</f>
        <v>0.9061052894156736</v>
      </c>
      <c r="CQ36" s="166">
        <f t="shared" si="58"/>
        <v>0.09389471058432641</v>
      </c>
      <c r="CR36" s="599">
        <f>IF($CK36="n/a","",IF(SUM(CM36:CO36)&lt;$BZ$4,"",adjustparameter($AO36,0.5*$AO36,SUM(SUM(CO36)*CP36/$AB36/$AO36),($BZ$4-SUM(CM36:CN36)*CP36/$AB36))))</f>
        <v>750</v>
      </c>
      <c r="CS36" s="166">
        <f t="shared" si="59"/>
        <v>0</v>
      </c>
      <c r="CT36" s="124"/>
      <c r="CU36" s="166">
        <f t="shared" si="60"/>
      </c>
      <c r="CV36" s="124"/>
      <c r="CW36" s="166">
        <f t="shared" si="61"/>
      </c>
      <c r="CX36" s="595">
        <f t="shared" si="62"/>
      </c>
      <c r="CY36" s="165">
        <f>IF(CX36="","",VLOOKUP(CX36,Picklist!$C$2:$E$5,3))</f>
      </c>
      <c r="CZ36" s="594">
        <f t="shared" si="63"/>
      </c>
      <c r="DA36" s="165"/>
      <c r="DB36" s="166">
        <f t="shared" si="64"/>
      </c>
      <c r="DC36" s="165" t="str">
        <f t="shared" si="65"/>
        <v>n/a</v>
      </c>
      <c r="DD36" s="165" t="str">
        <f t="shared" si="66"/>
        <v>n/a</v>
      </c>
      <c r="DE36" s="165">
        <f t="shared" si="67"/>
        <v>0.45</v>
      </c>
      <c r="DF36" s="165" t="str">
        <f t="shared" si="68"/>
        <v>n/a</v>
      </c>
      <c r="DG36" s="165" t="str">
        <f t="shared" si="69"/>
        <v>n/a</v>
      </c>
      <c r="DH36" s="165">
        <f t="shared" si="70"/>
        <v>0.0064285714285714285</v>
      </c>
      <c r="DI36" s="167">
        <f t="shared" si="71"/>
        <v>0.0064285714285714285</v>
      </c>
      <c r="DJ36" s="165" t="str">
        <f t="shared" si="72"/>
        <v>n/a</v>
      </c>
      <c r="DK36" s="165" t="str">
        <f t="shared" si="7"/>
        <v>n/a</v>
      </c>
      <c r="DL36" s="165">
        <f t="shared" si="73"/>
        <v>0.9</v>
      </c>
      <c r="DM36" s="168">
        <f t="shared" si="74"/>
        <v>0.9</v>
      </c>
      <c r="DN36" s="169"/>
      <c r="DO36" s="165" t="str">
        <f t="shared" si="75"/>
        <v>n/a</v>
      </c>
      <c r="DP36" s="165" t="str">
        <f t="shared" si="76"/>
        <v>n/a</v>
      </c>
      <c r="DQ36" s="165">
        <f t="shared" si="77"/>
        <v>0.09932620530009148</v>
      </c>
      <c r="DR36" s="598">
        <f>IF(SUM(DO36:DQ36)&lt;$BZ$4,"",adjustparameter($AB36,0.01,SUM(DO36,DP36,DQ36)/$AB36,$BZ$4))</f>
      </c>
      <c r="DS36" s="166">
        <f t="shared" si="78"/>
      </c>
      <c r="DT36" s="597">
        <f>IF($CK36="n/a","",IF(SUM(DO36:DQ36)&lt;$BZ$4,"",adjustparameter($AO36,0.5*$AO36,SUM(SUM(DQ36)*DR36/$AB36/$AO36),($BZ$4-SUM(DO36:DP36)*DR36/$AB36))))</f>
      </c>
      <c r="DU36" s="166">
        <f t="shared" si="8"/>
      </c>
      <c r="DV36" s="124"/>
      <c r="DW36" s="166">
        <f t="shared" si="79"/>
      </c>
      <c r="DX36" s="124"/>
      <c r="DY36" s="166">
        <f t="shared" si="80"/>
      </c>
      <c r="DZ36" s="595">
        <f t="shared" si="81"/>
      </c>
      <c r="EA36" s="165">
        <f>IF(DZ36="","",VLOOKUP(DZ36,Picklist!$C$2:$E$5,3))</f>
      </c>
      <c r="EB36" s="594">
        <f t="shared" si="82"/>
      </c>
      <c r="EC36" s="124"/>
      <c r="ED36" s="166">
        <f t="shared" si="83"/>
      </c>
      <c r="EE36" s="593" t="str">
        <f t="shared" si="84"/>
        <v>n/a</v>
      </c>
      <c r="EF36" s="594" t="str">
        <f t="shared" si="85"/>
        <v>n/a</v>
      </c>
      <c r="EG36" s="594">
        <f t="shared" si="86"/>
        <v>0.4966310265004574</v>
      </c>
      <c r="EH36" s="165" t="str">
        <f t="shared" si="87"/>
        <v>n/a</v>
      </c>
      <c r="EI36" s="165" t="str">
        <f t="shared" si="88"/>
        <v>n/a</v>
      </c>
      <c r="EJ36" s="165">
        <f t="shared" si="89"/>
        <v>0.007094728950006534</v>
      </c>
      <c r="EK36" s="167">
        <f t="shared" si="90"/>
        <v>0.007094728950006534</v>
      </c>
      <c r="EL36" s="165" t="str">
        <f t="shared" si="91"/>
        <v>n/a</v>
      </c>
      <c r="EM36" s="165" t="str">
        <f t="shared" si="9"/>
        <v>n/a</v>
      </c>
      <c r="EN36" s="165">
        <f t="shared" si="92"/>
        <v>0.09932620530009148</v>
      </c>
      <c r="EO36" s="168">
        <f t="shared" si="93"/>
        <v>0.09932620530009148</v>
      </c>
      <c r="EP36" s="169"/>
      <c r="EQ36" s="165" t="str">
        <f t="shared" si="94"/>
        <v>n/a</v>
      </c>
      <c r="ER36" s="165" t="str">
        <f t="shared" si="95"/>
        <v>n/a</v>
      </c>
      <c r="ES36" s="165">
        <f t="shared" si="96"/>
        <v>0.019865241060018295</v>
      </c>
      <c r="ET36" s="596">
        <f>IF(SUM(EQ36:ES36)&lt;$BZ$4,"",adjustparameter($AB36,0.01,SUM(EQ36,ER36,ES36)/$AB36,$BZ$4))</f>
      </c>
      <c r="EU36" s="166">
        <f t="shared" si="97"/>
      </c>
      <c r="EV36" s="597">
        <f>IF($CK36="n/a","",IF(SUM(EQ36:ES36)&lt;$BZ$4,"",adjustparameter($AO36,0.5*$AO36,SUM(SUM(ES36)*ET36/$AB36/$AO36),($BZ$4-SUM(EQ36:ER36)*ET36/$AB36))))</f>
      </c>
      <c r="EW36" s="166">
        <f t="shared" si="98"/>
      </c>
      <c r="EX36" s="124"/>
      <c r="EY36" s="166">
        <f t="shared" si="99"/>
      </c>
      <c r="EZ36" s="124"/>
      <c r="FA36" s="166">
        <f t="shared" si="100"/>
      </c>
      <c r="FB36" s="595">
        <f t="shared" si="101"/>
      </c>
      <c r="FC36" s="165">
        <f>IF(FB36="","",VLOOKUP(FB36,Picklist!$C$2:$E$5,3))</f>
      </c>
      <c r="FD36" s="594">
        <f t="shared" si="102"/>
      </c>
      <c r="FE36" s="124"/>
      <c r="FF36" s="166">
        <f t="shared" si="10"/>
      </c>
      <c r="FG36" s="593" t="str">
        <f t="shared" si="103"/>
        <v>n/a</v>
      </c>
      <c r="FH36" s="594" t="str">
        <f t="shared" si="104"/>
        <v>n/a</v>
      </c>
      <c r="FI36" s="594">
        <f t="shared" si="105"/>
        <v>0.4966310265004574</v>
      </c>
      <c r="FJ36" s="165" t="str">
        <f t="shared" si="106"/>
        <v>n/a</v>
      </c>
      <c r="FK36" s="165" t="str">
        <f t="shared" si="107"/>
        <v>n/a</v>
      </c>
      <c r="FL36" s="165">
        <f t="shared" si="108"/>
        <v>0.007094728950006534</v>
      </c>
      <c r="FM36" s="167">
        <f t="shared" si="109"/>
        <v>0.007094728950006534</v>
      </c>
      <c r="FN36" s="165" t="str">
        <f t="shared" si="110"/>
        <v>n/a</v>
      </c>
      <c r="FO36" s="165" t="str">
        <f t="shared" si="11"/>
        <v>n/a</v>
      </c>
      <c r="FP36" s="165">
        <f t="shared" si="111"/>
        <v>0.019865241060018295</v>
      </c>
      <c r="FQ36" s="168">
        <f t="shared" si="112"/>
        <v>0.019865241060018295</v>
      </c>
      <c r="FR36" s="169"/>
      <c r="FS36" s="165" t="str">
        <f t="shared" si="113"/>
        <v>n/a</v>
      </c>
      <c r="FT36" s="165" t="str">
        <f t="shared" si="114"/>
        <v>n/a</v>
      </c>
      <c r="FU36" s="165">
        <f t="shared" si="115"/>
        <v>0.004966310265004574</v>
      </c>
      <c r="FV36" s="596">
        <f>IF(SUM(FS36:FU36)&lt;$BZ$4,"",adjustparameter($AB36,0.01,SUM(FS36,FT36,FU36)/$AB36,$BZ$4))</f>
      </c>
      <c r="FW36" s="166">
        <f t="shared" si="116"/>
      </c>
      <c r="FX36" s="597">
        <f>IF($CK36="n/a","",IF(SUM(FS36:FU36)&lt;$BZ$4,"",adjustparameter($AO36,0.5*$AO36,SUM(SUM(FU36)*FV36/$AB36/$AO36),($BZ$4-SUM(FS36:FT36)*FV36/$AB36))))</f>
      </c>
      <c r="FY36" s="166">
        <f t="shared" si="117"/>
      </c>
      <c r="FZ36" s="124"/>
      <c r="GA36" s="166">
        <f t="shared" si="118"/>
      </c>
      <c r="GB36" s="124"/>
      <c r="GC36" s="166">
        <f t="shared" si="119"/>
      </c>
      <c r="GD36" s="595">
        <f t="shared" si="120"/>
      </c>
      <c r="GE36" s="165">
        <f>IF(GD36="","",VLOOKUP(GD36,Picklist!$C$2:$E$5,3))</f>
      </c>
      <c r="GF36" s="594">
        <f t="shared" si="121"/>
      </c>
      <c r="GG36" s="124"/>
      <c r="GH36" s="166">
        <f t="shared" si="12"/>
      </c>
      <c r="GI36" s="593" t="str">
        <f t="shared" si="122"/>
        <v>n/a</v>
      </c>
      <c r="GJ36" s="594" t="str">
        <f t="shared" si="123"/>
        <v>n/a</v>
      </c>
      <c r="GK36" s="594">
        <f t="shared" si="124"/>
        <v>0.4966310265004574</v>
      </c>
      <c r="GL36" s="165" t="str">
        <f t="shared" si="125"/>
        <v>n/a</v>
      </c>
      <c r="GM36" s="165" t="str">
        <f t="shared" si="126"/>
        <v>n/a</v>
      </c>
      <c r="GN36" s="165">
        <f t="shared" si="127"/>
        <v>0.007094728950006534</v>
      </c>
      <c r="GO36" s="167">
        <f t="shared" si="128"/>
        <v>0.007094728950006534</v>
      </c>
      <c r="GP36" s="165" t="str">
        <f t="shared" si="129"/>
        <v>n/a</v>
      </c>
      <c r="GQ36" s="165" t="str">
        <f t="shared" si="13"/>
        <v>n/a</v>
      </c>
      <c r="GR36" s="165">
        <f t="shared" si="130"/>
        <v>0.004966310265004574</v>
      </c>
      <c r="GS36" s="170">
        <f t="shared" si="131"/>
        <v>0.004966310265004574</v>
      </c>
      <c r="GT36" s="138"/>
      <c r="GU36" s="138"/>
      <c r="GV36" s="138"/>
      <c r="GW36" s="138"/>
      <c r="GX36" s="138"/>
      <c r="GY36" s="138"/>
      <c r="GZ36" s="138"/>
      <c r="HA36" s="138"/>
      <c r="HB36" s="138"/>
      <c r="HC36" s="138"/>
      <c r="HD36" s="138"/>
      <c r="HE36" s="138"/>
      <c r="HF36" s="138"/>
      <c r="HG36" s="138"/>
      <c r="HH36" s="138"/>
      <c r="HI36" s="138"/>
      <c r="HJ36" s="138"/>
      <c r="HK36" s="138"/>
      <c r="HL36" s="138"/>
      <c r="HM36" s="138"/>
      <c r="HN36" s="138"/>
      <c r="HO36" s="138"/>
      <c r="HP36" s="138"/>
      <c r="HQ36" s="138"/>
      <c r="HR36" s="138"/>
      <c r="HS36" s="138"/>
      <c r="HT36" s="138"/>
      <c r="HU36" s="138"/>
      <c r="HV36" s="138"/>
      <c r="HW36" s="138"/>
      <c r="HX36" s="138"/>
      <c r="HY36" s="138"/>
      <c r="HZ36" s="138"/>
      <c r="IA36" s="138"/>
      <c r="IB36" s="138"/>
      <c r="IC36" s="138"/>
      <c r="ID36" s="138"/>
      <c r="IE36" s="138"/>
      <c r="IF36" s="138"/>
      <c r="IG36" s="138"/>
      <c r="IH36" s="138"/>
      <c r="II36" s="138"/>
      <c r="IJ36" s="138"/>
      <c r="IK36" s="138"/>
      <c r="IL36" s="138"/>
      <c r="IM36" s="138"/>
      <c r="IN36" s="138"/>
    </row>
    <row r="37" spans="1:248" s="228" customFormat="1" ht="132">
      <c r="A37" s="138"/>
      <c r="B37" s="145"/>
      <c r="C37" s="222" t="s">
        <v>387</v>
      </c>
      <c r="D37" s="223" t="s">
        <v>36</v>
      </c>
      <c r="E37" s="224" t="s">
        <v>142</v>
      </c>
      <c r="F37" s="209">
        <v>0.5</v>
      </c>
      <c r="G37" s="128" t="s">
        <v>388</v>
      </c>
      <c r="H37" s="225"/>
      <c r="I37" s="128" t="s">
        <v>388</v>
      </c>
      <c r="J37" s="128" t="s">
        <v>139</v>
      </c>
      <c r="K37" s="128">
        <v>1</v>
      </c>
      <c r="L37" s="128">
        <v>857.5</v>
      </c>
      <c r="M37" s="225"/>
      <c r="N37" s="128">
        <v>5000</v>
      </c>
      <c r="O37" s="128">
        <v>20</v>
      </c>
      <c r="P37" s="210">
        <v>4</v>
      </c>
      <c r="Q37" s="151">
        <f t="shared" si="14"/>
        <v>71.45833333333334</v>
      </c>
      <c r="R37" s="132" t="str">
        <f t="shared" si="15"/>
        <v>n/a</v>
      </c>
      <c r="S37" s="143">
        <f t="shared" si="16"/>
        <v>11416.666666666668</v>
      </c>
      <c r="T37" s="143">
        <f t="shared" si="17"/>
        <v>125000</v>
      </c>
      <c r="U37" s="143">
        <f t="shared" si="18"/>
        <v>125000</v>
      </c>
      <c r="V37" s="152">
        <f t="shared" si="19"/>
        <v>11488.125000000002</v>
      </c>
      <c r="W37" s="153">
        <f t="shared" si="20"/>
        <v>3.572916666666667</v>
      </c>
      <c r="X37" s="154" t="str">
        <f t="shared" si="21"/>
        <v>n/a</v>
      </c>
      <c r="Y37" s="154" t="str">
        <f t="shared" si="22"/>
        <v>n/a</v>
      </c>
      <c r="Z37" s="154">
        <f t="shared" si="23"/>
        <v>1785.7142857142858</v>
      </c>
      <c r="AA37" s="155">
        <f t="shared" si="24"/>
        <v>1789.2872023809525</v>
      </c>
      <c r="AB37" s="113">
        <v>1</v>
      </c>
      <c r="AC37" s="105" t="s">
        <v>229</v>
      </c>
      <c r="AD37" s="609">
        <v>0.2</v>
      </c>
      <c r="AE37" s="127" t="s">
        <v>641</v>
      </c>
      <c r="AF37" s="105">
        <v>420</v>
      </c>
      <c r="AG37" s="127" t="s">
        <v>153</v>
      </c>
      <c r="AH37" s="105"/>
      <c r="AI37" s="105"/>
      <c r="AJ37" s="305"/>
      <c r="AK37" s="306"/>
      <c r="AL37" s="127"/>
      <c r="AM37" s="571"/>
      <c r="AN37" s="193"/>
      <c r="AO37" s="114">
        <f>((1*750)/1000)*1000</f>
        <v>750</v>
      </c>
      <c r="AP37" s="114" t="s">
        <v>155</v>
      </c>
      <c r="AQ37" s="315">
        <v>0.03</v>
      </c>
      <c r="AR37" s="114" t="s">
        <v>234</v>
      </c>
      <c r="AS37" s="129" t="s">
        <v>498</v>
      </c>
      <c r="AT37" s="120">
        <f t="shared" si="25"/>
        <v>1.5</v>
      </c>
      <c r="AU37" s="131" t="str">
        <f aca="true" t="shared" si="139" ref="AU37:AU49">IF(AND(AS37="outdoor",AT37=0.6),"est. conservative value for outdoor","RIVM  general fact sheet")</f>
        <v>RIVM  general fact sheet</v>
      </c>
      <c r="AV37" s="131">
        <f t="shared" si="26"/>
        <v>0.9778337370422231</v>
      </c>
      <c r="AW37" s="156">
        <f t="shared" si="137"/>
        <v>34</v>
      </c>
      <c r="AX37" s="156" t="str">
        <f t="shared" si="138"/>
        <v>RIVM general fact sheet</v>
      </c>
      <c r="AY37" s="230">
        <v>0.03</v>
      </c>
      <c r="AZ37" s="200" t="s">
        <v>158</v>
      </c>
      <c r="BA37" s="125">
        <f t="shared" si="0"/>
        <v>70.00000000000001</v>
      </c>
      <c r="BB37" s="125">
        <f t="shared" si="1"/>
        <v>14.000000000000004</v>
      </c>
      <c r="BC37" s="120">
        <f t="shared" si="27"/>
        <v>10</v>
      </c>
      <c r="BD37" s="120" t="str">
        <f t="shared" si="2"/>
        <v>n/a</v>
      </c>
      <c r="BE37" s="120" t="str">
        <f t="shared" si="3"/>
        <v>n/a</v>
      </c>
      <c r="BF37" s="120">
        <f t="shared" si="4"/>
        <v>0.4432606609459784</v>
      </c>
      <c r="BG37" s="120">
        <f t="shared" si="28"/>
        <v>647.0958553955888</v>
      </c>
      <c r="BH37" s="120">
        <f t="shared" si="29"/>
      </c>
      <c r="BI37" s="120">
        <f t="shared" si="5"/>
        <v>0.8088698192444861</v>
      </c>
      <c r="BJ37" s="158">
        <f t="shared" si="30"/>
        <v>0.16177396384889722</v>
      </c>
      <c r="BK37" s="159">
        <f t="shared" si="31"/>
        <v>70.443260660946</v>
      </c>
      <c r="BL37" s="160" t="str">
        <f t="shared" si="32"/>
        <v>n/a</v>
      </c>
      <c r="BM37" s="161" t="str">
        <f t="shared" si="33"/>
        <v>n/a</v>
      </c>
      <c r="BN37" s="161">
        <f t="shared" si="34"/>
        <v>3.500000000000001</v>
      </c>
      <c r="BO37" s="162" t="str">
        <f t="shared" si="35"/>
        <v>n/a</v>
      </c>
      <c r="BP37" s="161">
        <f t="shared" si="36"/>
        <v>0.011555283132064087</v>
      </c>
      <c r="BQ37" s="162">
        <f t="shared" si="37"/>
        <v>3.511555283132065</v>
      </c>
      <c r="BR37" s="161">
        <f t="shared" si="38"/>
        <v>0.7000000000000002</v>
      </c>
      <c r="BS37" s="161" t="str">
        <f t="shared" si="39"/>
        <v>n/a</v>
      </c>
      <c r="BT37" s="161">
        <f t="shared" si="40"/>
        <v>0.0023110566264128176</v>
      </c>
      <c r="BU37" s="161">
        <f t="shared" si="41"/>
        <v>0.702311056626413</v>
      </c>
      <c r="BV37" s="163" t="str">
        <f t="shared" si="42"/>
        <v>Unless otherwise stated, covers concentrations up to 100% [ConsOC1]; covers use up to 51 days/year[ConsOC3]; covers use up to 1 time/on day of use[ConsOC4]; covers skin contact area up to 420,00 cm2 [ConsOC5]; for each use event, covers use amounts up to 750g [ConsOC2]; Covers use in a one car garage (34m3) under typcial ventilation [ConsOC10]; covers use in room size of 34m3[ConsOC11]; for each use event, covers exposure up to 0,03hr/event[ConsOC14]; </v>
      </c>
      <c r="BW37" s="126" t="str">
        <f t="shared" si="43"/>
        <v>No specific RMMs developed beyond those OCs stated</v>
      </c>
      <c r="BX37" s="125" t="str">
        <f t="shared" si="44"/>
        <v>Based upon infrequent use (&lt;365 days/yr)</v>
      </c>
      <c r="BY37" s="120">
        <f t="shared" si="45"/>
        <v>0.7000000000000002</v>
      </c>
      <c r="BZ37" s="120" t="str">
        <f t="shared" si="46"/>
        <v>n/a</v>
      </c>
      <c r="CA37" s="120">
        <f t="shared" si="47"/>
        <v>0.0023110566264128176</v>
      </c>
      <c r="CB37" s="164">
        <f t="shared" si="48"/>
        <v>0.702311056626413</v>
      </c>
      <c r="CC37" s="120">
        <f t="shared" si="49"/>
        <v>10</v>
      </c>
      <c r="CD37" s="120" t="str">
        <f t="shared" si="50"/>
        <v>n/a</v>
      </c>
      <c r="CE37" s="159">
        <f t="shared" si="51"/>
        <v>0.16177396384889722</v>
      </c>
      <c r="CF37" s="138"/>
      <c r="CG37" s="226" t="str">
        <f t="shared" si="135"/>
        <v>PC13:Fuels</v>
      </c>
      <c r="CH37" s="227" t="str">
        <f t="shared" si="136"/>
        <v>Liquid (subcategories added): Garden Equipment - Refueling</v>
      </c>
      <c r="CI37" s="120">
        <f t="shared" si="52"/>
        <v>14.000000000000004</v>
      </c>
      <c r="CJ37" s="120" t="str">
        <f t="shared" si="53"/>
        <v>n/a</v>
      </c>
      <c r="CK37" s="120">
        <f t="shared" si="54"/>
        <v>0.16177396384889722</v>
      </c>
      <c r="CL37" s="124"/>
      <c r="CM37" s="165">
        <f t="shared" si="55"/>
        <v>140.00000000000003</v>
      </c>
      <c r="CN37" s="165" t="str">
        <f t="shared" si="56"/>
        <v>n/a</v>
      </c>
      <c r="CO37" s="165">
        <f t="shared" si="57"/>
        <v>0.32354792769779445</v>
      </c>
      <c r="CP37" s="598">
        <f>IF(SUM(CM37:CO37)&lt;$BZ$4,"",adjustparameter($AB37,0.01,SUM(CM37,CN37,CO37)/$AB37,$BZ$4))</f>
        <v>0.01</v>
      </c>
      <c r="CQ37" s="166">
        <f t="shared" si="58"/>
        <v>0.99</v>
      </c>
      <c r="CR37" s="599">
        <f>IF($CK37="n/a","",IF(SUM(CM37:CO37)&lt;$BZ$4,"",adjustparameter($AO37,0.5*$AO37,SUM(SUM(CO37)*CP37/$AB37/$AO37),($BZ$4-SUM(CM37:CN37)*CP37/$AB37))))</f>
        <v>375</v>
      </c>
      <c r="CS37" s="166">
        <f t="shared" si="59"/>
        <v>0.5</v>
      </c>
      <c r="CT37" s="124"/>
      <c r="CU37" s="166">
        <f t="shared" si="60"/>
      </c>
      <c r="CV37" s="124"/>
      <c r="CW37" s="166">
        <f t="shared" si="61"/>
      </c>
      <c r="CX37" s="595">
        <f t="shared" si="62"/>
      </c>
      <c r="CY37" s="165">
        <f>IF(CX37="","",VLOOKUP(CX37,Picklist!$C$2:$E$5,3))</f>
      </c>
      <c r="CZ37" s="594">
        <f t="shared" si="63"/>
      </c>
      <c r="DA37" s="165"/>
      <c r="DB37" s="166">
        <f t="shared" si="64"/>
      </c>
      <c r="DC37" s="165">
        <f t="shared" si="65"/>
        <v>0.14000000000000015</v>
      </c>
      <c r="DD37" s="165" t="str">
        <f t="shared" si="66"/>
        <v>n/a</v>
      </c>
      <c r="DE37" s="165">
        <f t="shared" si="67"/>
        <v>0.0008088698192444868</v>
      </c>
      <c r="DF37" s="165">
        <f t="shared" si="68"/>
        <v>0.007000000000000008</v>
      </c>
      <c r="DG37" s="165" t="str">
        <f t="shared" si="69"/>
        <v>n/a</v>
      </c>
      <c r="DH37" s="165">
        <f t="shared" si="70"/>
        <v>1.1555283132064098E-05</v>
      </c>
      <c r="DI37" s="167">
        <f t="shared" si="71"/>
        <v>0.007011555283132072</v>
      </c>
      <c r="DJ37" s="165">
        <f t="shared" si="72"/>
        <v>1.4000000000000004</v>
      </c>
      <c r="DK37" s="165" t="str">
        <f t="shared" si="7"/>
        <v>n/a</v>
      </c>
      <c r="DL37" s="165">
        <f t="shared" si="73"/>
        <v>0.0016177396384889722</v>
      </c>
      <c r="DM37" s="168">
        <f t="shared" si="74"/>
        <v>1.4016177396384892</v>
      </c>
      <c r="DN37" s="169"/>
      <c r="DO37" s="165">
        <f t="shared" si="75"/>
        <v>14.000000000000004</v>
      </c>
      <c r="DP37" s="165" t="str">
        <f t="shared" si="76"/>
        <v>n/a</v>
      </c>
      <c r="DQ37" s="165">
        <f t="shared" si="77"/>
        <v>0.03235479276977944</v>
      </c>
      <c r="DR37" s="598">
        <f>IF(SUM(DO37:DQ37)&lt;$BZ$4,"",adjustparameter($AB37,0.01,SUM(DO37,DP37,DQ37)/$AB37,$BZ$4))</f>
        <v>0.06413748891695127</v>
      </c>
      <c r="DS37" s="166">
        <f t="shared" si="78"/>
        <v>0.9358625110830487</v>
      </c>
      <c r="DT37" s="597">
        <f>IF($CK37="n/a","",IF(SUM(DO37:DQ37)&lt;$BZ$4,"",adjustparameter($AO37,0.5*$AO37,SUM(SUM(DQ37)*DR37/$AB37/$AO37),($BZ$4-SUM(DO37:DP37)*DR37/$AB37))))</f>
        <v>749.9999999999965</v>
      </c>
      <c r="DU37" s="166">
        <f t="shared" si="8"/>
        <v>4.699055959160129E-15</v>
      </c>
      <c r="DV37" s="124"/>
      <c r="DW37" s="166">
        <f t="shared" si="79"/>
      </c>
      <c r="DX37" s="124"/>
      <c r="DY37" s="166">
        <f t="shared" si="80"/>
      </c>
      <c r="DZ37" s="595">
        <f t="shared" si="81"/>
      </c>
      <c r="EA37" s="165">
        <f>IF(DZ37="","",VLOOKUP(DZ37,Picklist!$C$2:$E$5,3))</f>
      </c>
      <c r="EB37" s="594">
        <f t="shared" si="82"/>
      </c>
      <c r="EC37" s="124"/>
      <c r="ED37" s="166">
        <f t="shared" si="83"/>
      </c>
      <c r="EE37" s="593">
        <f t="shared" si="84"/>
        <v>0.8979248448373178</v>
      </c>
      <c r="EF37" s="594" t="str">
        <f t="shared" si="85"/>
        <v>n/a</v>
      </c>
      <c r="EG37" s="594">
        <f t="shared" si="86"/>
        <v>0.010375775813409871</v>
      </c>
      <c r="EH37" s="165">
        <f t="shared" si="87"/>
        <v>0.04489624224186589</v>
      </c>
      <c r="EI37" s="165" t="str">
        <f t="shared" si="88"/>
        <v>n/a</v>
      </c>
      <c r="EJ37" s="165">
        <f t="shared" si="89"/>
        <v>0.00014822536876299815</v>
      </c>
      <c r="EK37" s="167">
        <f t="shared" si="90"/>
        <v>0.04504446761062889</v>
      </c>
      <c r="EL37" s="165">
        <f t="shared" si="91"/>
        <v>0.897924844837318</v>
      </c>
      <c r="EM37" s="165" t="str">
        <f t="shared" si="9"/>
        <v>n/a</v>
      </c>
      <c r="EN37" s="165">
        <f t="shared" si="92"/>
        <v>0.0020751551626819746</v>
      </c>
      <c r="EO37" s="168">
        <f t="shared" si="93"/>
        <v>0.9</v>
      </c>
      <c r="EP37" s="169"/>
      <c r="EQ37" s="165">
        <f t="shared" si="94"/>
        <v>2.8000000000000007</v>
      </c>
      <c r="ER37" s="165" t="str">
        <f t="shared" si="95"/>
        <v>n/a</v>
      </c>
      <c r="ES37" s="165">
        <f t="shared" si="96"/>
        <v>0.006470958553955889</v>
      </c>
      <c r="ET37" s="596">
        <f>IF(SUM(EQ37:ES37)&lt;$BZ$4,"",adjustparameter($AB37,0.01,SUM(EQ37,ER37,ES37)/$AB37,$BZ$4))</f>
        <v>0.32068744458475634</v>
      </c>
      <c r="EU37" s="166">
        <f t="shared" si="97"/>
        <v>0.6793125554152437</v>
      </c>
      <c r="EV37" s="597">
        <f>IF($CK37="n/a","",IF(SUM(EQ37:ES37)&lt;$BZ$4,"",adjustparameter($AO37,0.5*$AO37,SUM(SUM(ES37)*ET37/$AB37/$AO37),($BZ$4-SUM(EQ37:ER37)*ET37/$AB37))))</f>
      </c>
      <c r="EW37" s="166">
        <f t="shared" si="98"/>
      </c>
      <c r="EX37" s="124"/>
      <c r="EY37" s="166">
        <f t="shared" si="99"/>
      </c>
      <c r="EZ37" s="124"/>
      <c r="FA37" s="166">
        <f t="shared" si="100"/>
      </c>
      <c r="FB37" s="595">
        <f t="shared" si="101"/>
      </c>
      <c r="FC37" s="165">
        <f>IF(FB37="","",VLOOKUP(FB37,Picklist!$C$2:$E$5,3))</f>
      </c>
      <c r="FD37" s="594">
        <f t="shared" si="102"/>
      </c>
      <c r="FE37" s="124"/>
      <c r="FF37" s="166">
        <f t="shared" si="10"/>
      </c>
      <c r="FG37" s="593">
        <f t="shared" si="103"/>
        <v>4.489624224186589</v>
      </c>
      <c r="FH37" s="594" t="str">
        <f t="shared" si="104"/>
        <v>n/a</v>
      </c>
      <c r="FI37" s="594">
        <f t="shared" si="105"/>
        <v>0.0518788790670496</v>
      </c>
      <c r="FJ37" s="165">
        <f t="shared" si="106"/>
        <v>0.22448121120932946</v>
      </c>
      <c r="FK37" s="165" t="str">
        <f t="shared" si="107"/>
        <v>n/a</v>
      </c>
      <c r="FL37" s="165">
        <f t="shared" si="108"/>
        <v>0.0007411268438149943</v>
      </c>
      <c r="FM37" s="167">
        <f t="shared" si="109"/>
        <v>0.22522233805314446</v>
      </c>
      <c r="FN37" s="165">
        <f t="shared" si="110"/>
        <v>0.8979248448373179</v>
      </c>
      <c r="FO37" s="165" t="str">
        <f t="shared" si="11"/>
        <v>n/a</v>
      </c>
      <c r="FP37" s="165">
        <f t="shared" si="111"/>
        <v>0.002075155162681984</v>
      </c>
      <c r="FQ37" s="168">
        <f t="shared" si="112"/>
        <v>0.8999999999999999</v>
      </c>
      <c r="FR37" s="169"/>
      <c r="FS37" s="165">
        <f t="shared" si="113"/>
        <v>0.7000000000000002</v>
      </c>
      <c r="FT37" s="165" t="str">
        <f t="shared" si="114"/>
        <v>n/a</v>
      </c>
      <c r="FU37" s="165">
        <f t="shared" si="115"/>
        <v>0.0016177396384889722</v>
      </c>
      <c r="FV37" s="596">
        <f>IF(SUM(FS37:FU37)&lt;$BZ$4,"",adjustparameter($AB37,0.01,SUM(FS37,FT37,FU37)/$AB37,$BZ$4))</f>
      </c>
      <c r="FW37" s="166">
        <f t="shared" si="116"/>
      </c>
      <c r="FX37" s="597">
        <f>IF($CK37="n/a","",IF(SUM(FS37:FU37)&lt;$BZ$4,"",adjustparameter($AO37,0.5*$AO37,SUM(SUM(FU37)*FV37/$AB37/$AO37),($BZ$4-SUM(FS37:FT37)*FV37/$AB37))))</f>
      </c>
      <c r="FY37" s="166">
        <f t="shared" si="117"/>
      </c>
      <c r="FZ37" s="124"/>
      <c r="GA37" s="166">
        <f t="shared" si="118"/>
      </c>
      <c r="GB37" s="124"/>
      <c r="GC37" s="166">
        <f t="shared" si="119"/>
      </c>
      <c r="GD37" s="595">
        <f t="shared" si="120"/>
      </c>
      <c r="GE37" s="165">
        <f>IF(GD37="","",VLOOKUP(GD37,Picklist!$C$2:$E$5,3))</f>
      </c>
      <c r="GF37" s="594">
        <f t="shared" si="121"/>
      </c>
      <c r="GG37" s="124"/>
      <c r="GH37" s="166">
        <f t="shared" si="12"/>
      </c>
      <c r="GI37" s="593">
        <f t="shared" si="122"/>
        <v>14.000000000000004</v>
      </c>
      <c r="GJ37" s="594" t="str">
        <f t="shared" si="123"/>
        <v>n/a</v>
      </c>
      <c r="GK37" s="594">
        <f t="shared" si="124"/>
        <v>0.16177396384889722</v>
      </c>
      <c r="GL37" s="165">
        <f t="shared" si="125"/>
        <v>0.7000000000000002</v>
      </c>
      <c r="GM37" s="165" t="str">
        <f t="shared" si="126"/>
        <v>n/a</v>
      </c>
      <c r="GN37" s="165">
        <f t="shared" si="127"/>
        <v>0.0023110566264128176</v>
      </c>
      <c r="GO37" s="167">
        <f t="shared" si="128"/>
        <v>0.702311056626413</v>
      </c>
      <c r="GP37" s="165">
        <f t="shared" si="129"/>
        <v>0.7000000000000002</v>
      </c>
      <c r="GQ37" s="165" t="str">
        <f t="shared" si="13"/>
        <v>n/a</v>
      </c>
      <c r="GR37" s="165">
        <f t="shared" si="130"/>
        <v>0.0016177396384889722</v>
      </c>
      <c r="GS37" s="170">
        <f t="shared" si="131"/>
        <v>0.7016177396384892</v>
      </c>
      <c r="GT37" s="138"/>
      <c r="GU37" s="138"/>
      <c r="GV37" s="138"/>
      <c r="GW37" s="138"/>
      <c r="GX37" s="138"/>
      <c r="GY37" s="138"/>
      <c r="GZ37" s="138"/>
      <c r="HA37" s="138"/>
      <c r="HB37" s="138"/>
      <c r="HC37" s="138"/>
      <c r="HD37" s="138"/>
      <c r="HE37" s="138"/>
      <c r="HF37" s="138"/>
      <c r="HG37" s="138"/>
      <c r="HH37" s="138"/>
      <c r="HI37" s="138"/>
      <c r="HJ37" s="138"/>
      <c r="HK37" s="138"/>
      <c r="HL37" s="138"/>
      <c r="HM37" s="138"/>
      <c r="HN37" s="138"/>
      <c r="HO37" s="138"/>
      <c r="HP37" s="138"/>
      <c r="HQ37" s="138"/>
      <c r="HR37" s="138"/>
      <c r="HS37" s="138"/>
      <c r="HT37" s="138"/>
      <c r="HU37" s="138"/>
      <c r="HV37" s="138"/>
      <c r="HW37" s="138"/>
      <c r="HX37" s="138"/>
      <c r="HY37" s="138"/>
      <c r="HZ37" s="138"/>
      <c r="IA37" s="138"/>
      <c r="IB37" s="138"/>
      <c r="IC37" s="138"/>
      <c r="ID37" s="138"/>
      <c r="IE37" s="138"/>
      <c r="IF37" s="138"/>
      <c r="IG37" s="138"/>
      <c r="IH37" s="138"/>
      <c r="II37" s="138"/>
      <c r="IJ37" s="138"/>
      <c r="IK37" s="138"/>
      <c r="IL37" s="138"/>
      <c r="IM37" s="138"/>
      <c r="IN37" s="138"/>
    </row>
    <row r="38" spans="1:248" s="236" customFormat="1" ht="118.5">
      <c r="A38" s="137"/>
      <c r="B38" s="145"/>
      <c r="C38" s="222"/>
      <c r="D38" s="223" t="s">
        <v>36</v>
      </c>
      <c r="E38" s="224" t="s">
        <v>2</v>
      </c>
      <c r="F38" s="231">
        <v>0.5</v>
      </c>
      <c r="G38" s="232" t="s">
        <v>388</v>
      </c>
      <c r="H38" s="225"/>
      <c r="I38" s="232" t="s">
        <v>388</v>
      </c>
      <c r="J38" s="128"/>
      <c r="K38" s="232">
        <v>1</v>
      </c>
      <c r="L38" s="232">
        <v>857.5</v>
      </c>
      <c r="M38" s="225"/>
      <c r="N38" s="232">
        <v>5000</v>
      </c>
      <c r="O38" s="232">
        <v>20</v>
      </c>
      <c r="P38" s="233">
        <v>4</v>
      </c>
      <c r="Q38" s="151">
        <f t="shared" si="14"/>
        <v>71.45833333333334</v>
      </c>
      <c r="R38" s="132" t="str">
        <f t="shared" si="15"/>
        <v>n/a</v>
      </c>
      <c r="S38" s="143">
        <f t="shared" si="16"/>
        <v>11416.666666666668</v>
      </c>
      <c r="T38" s="143">
        <f t="shared" si="17"/>
        <v>125000</v>
      </c>
      <c r="U38" s="143">
        <f t="shared" si="18"/>
        <v>125000</v>
      </c>
      <c r="V38" s="152">
        <f t="shared" si="19"/>
        <v>11488.125000000002</v>
      </c>
      <c r="W38" s="153">
        <f t="shared" si="20"/>
        <v>3.572916666666667</v>
      </c>
      <c r="X38" s="154" t="str">
        <f t="shared" si="21"/>
        <v>n/a</v>
      </c>
      <c r="Y38" s="154" t="str">
        <f t="shared" si="22"/>
        <v>n/a</v>
      </c>
      <c r="Z38" s="154">
        <f t="shared" si="23"/>
        <v>1785.7142857142858</v>
      </c>
      <c r="AA38" s="155">
        <f t="shared" si="24"/>
        <v>1789.2872023809525</v>
      </c>
      <c r="AB38" s="113">
        <v>1</v>
      </c>
      <c r="AC38" s="105" t="s">
        <v>229</v>
      </c>
      <c r="AD38" s="609">
        <v>1</v>
      </c>
      <c r="AE38" s="127" t="s">
        <v>642</v>
      </c>
      <c r="AF38" s="105">
        <v>210</v>
      </c>
      <c r="AG38" s="127" t="s">
        <v>146</v>
      </c>
      <c r="AH38" s="105"/>
      <c r="AI38" s="105"/>
      <c r="AJ38" s="307"/>
      <c r="AK38" s="307"/>
      <c r="AL38" s="127"/>
      <c r="AM38" s="571"/>
      <c r="AN38" s="193"/>
      <c r="AO38" s="115">
        <v>3000</v>
      </c>
      <c r="AP38" s="114" t="s">
        <v>0</v>
      </c>
      <c r="AQ38" s="315">
        <v>0.00125</v>
      </c>
      <c r="AR38" s="115" t="s">
        <v>1</v>
      </c>
      <c r="AS38" s="198" t="s">
        <v>496</v>
      </c>
      <c r="AT38" s="120">
        <f t="shared" si="25"/>
        <v>0.6</v>
      </c>
      <c r="AU38" s="131" t="str">
        <f t="shared" si="139"/>
        <v>RIVM  general fact sheet</v>
      </c>
      <c r="AV38" s="131">
        <f t="shared" si="26"/>
        <v>0.9910537578721796</v>
      </c>
      <c r="AW38" s="186">
        <f t="shared" si="137"/>
        <v>20</v>
      </c>
      <c r="AX38" s="156" t="str">
        <f t="shared" si="138"/>
        <v>TRA default</v>
      </c>
      <c r="AY38" s="230">
        <v>0.03</v>
      </c>
      <c r="AZ38" s="200" t="s">
        <v>158</v>
      </c>
      <c r="BA38" s="125">
        <f t="shared" si="0"/>
        <v>35.00000000000001</v>
      </c>
      <c r="BB38" s="125">
        <f t="shared" si="1"/>
        <v>35.00000000000001</v>
      </c>
      <c r="BC38" s="120">
        <f t="shared" si="27"/>
        <v>10</v>
      </c>
      <c r="BD38" s="120" t="str">
        <f t="shared" si="2"/>
        <v>n/a</v>
      </c>
      <c r="BE38" s="120" t="str">
        <f t="shared" si="3"/>
        <v>n/a</v>
      </c>
      <c r="BF38" s="120">
        <f t="shared" si="4"/>
        <v>0.1272884670267081</v>
      </c>
      <c r="BG38" s="120">
        <f t="shared" si="28"/>
        <v>185.82257960103368</v>
      </c>
      <c r="BH38" s="120">
        <f t="shared" si="29"/>
      </c>
      <c r="BI38" s="120">
        <f t="shared" si="5"/>
        <v>0.2322782245012921</v>
      </c>
      <c r="BJ38" s="158">
        <f t="shared" si="30"/>
        <v>0.2322782245012921</v>
      </c>
      <c r="BK38" s="159">
        <f t="shared" si="31"/>
        <v>35.127288467026716</v>
      </c>
      <c r="BL38" s="160" t="str">
        <f t="shared" si="32"/>
        <v>n/a</v>
      </c>
      <c r="BM38" s="161" t="str">
        <f t="shared" si="33"/>
        <v>n/a</v>
      </c>
      <c r="BN38" s="161">
        <f t="shared" si="34"/>
        <v>1.7500000000000004</v>
      </c>
      <c r="BO38" s="162" t="str">
        <f t="shared" si="35"/>
        <v>n/a</v>
      </c>
      <c r="BP38" s="161">
        <f t="shared" si="36"/>
        <v>0.0033182603500184586</v>
      </c>
      <c r="BQ38" s="162">
        <f t="shared" si="37"/>
        <v>1.7533182603500188</v>
      </c>
      <c r="BR38" s="161">
        <f t="shared" si="38"/>
        <v>1.7500000000000004</v>
      </c>
      <c r="BS38" s="161" t="str">
        <f t="shared" si="39"/>
        <v>n/a</v>
      </c>
      <c r="BT38" s="161">
        <f t="shared" si="40"/>
        <v>0.0033182603500184586</v>
      </c>
      <c r="BU38" s="161">
        <f t="shared" si="41"/>
        <v>1.7533182603500188</v>
      </c>
      <c r="BV38" s="163" t="str">
        <f t="shared" si="42"/>
        <v>Unless otherwise stated, covers concentrations up to 100% [ConsOC1]; covers use up to 364 days/year[ConsOC3]; covers use up to 1 time/on day of use[ConsOC4]; covers skin contact area up to 210,00 cm2 [ConsOC5]; for each use event, covers use amounts up to 3000g [ConsOC2]; covers use under typical household ventilation [ConsOC8]; covers use in room size of 20m3[ConsOC11]; for each use event, covers exposure up to 0,03hr/event[ConsOC14]; </v>
      </c>
      <c r="BW38" s="126" t="str">
        <f t="shared" si="43"/>
        <v>No specific RMMs developed beyond those OCs stated</v>
      </c>
      <c r="BX38" s="125" t="str">
        <f t="shared" si="44"/>
        <v>Based upon daily use</v>
      </c>
      <c r="BY38" s="120">
        <f t="shared" si="45"/>
        <v>1.7500000000000004</v>
      </c>
      <c r="BZ38" s="120" t="str">
        <f t="shared" si="46"/>
        <v>n/a</v>
      </c>
      <c r="CA38" s="120">
        <f t="shared" si="47"/>
        <v>0.0033182603500184586</v>
      </c>
      <c r="CB38" s="164">
        <f t="shared" si="48"/>
        <v>1.7533182603500188</v>
      </c>
      <c r="CC38" s="120">
        <f t="shared" si="49"/>
        <v>10</v>
      </c>
      <c r="CD38" s="120" t="str">
        <f t="shared" si="50"/>
        <v>n/a</v>
      </c>
      <c r="CE38" s="159">
        <f t="shared" si="51"/>
        <v>0.2322782245012921</v>
      </c>
      <c r="CF38" s="137"/>
      <c r="CG38" s="226" t="str">
        <f t="shared" si="135"/>
        <v>PC13:Fuels</v>
      </c>
      <c r="CH38" s="227" t="str">
        <f t="shared" si="136"/>
        <v>Liquid (subcategories added): Home space heater fuel</v>
      </c>
      <c r="CI38" s="120">
        <f t="shared" si="52"/>
        <v>35.00000000000001</v>
      </c>
      <c r="CJ38" s="120" t="str">
        <f t="shared" si="53"/>
        <v>n/a</v>
      </c>
      <c r="CK38" s="120">
        <f t="shared" si="54"/>
        <v>0.2322782245012921</v>
      </c>
      <c r="CL38" s="234"/>
      <c r="CM38" s="165">
        <f t="shared" si="55"/>
        <v>350.00000000000006</v>
      </c>
      <c r="CN38" s="165" t="str">
        <f t="shared" si="56"/>
        <v>n/a</v>
      </c>
      <c r="CO38" s="165">
        <f t="shared" si="57"/>
        <v>0.4645564490025842</v>
      </c>
      <c r="CP38" s="598">
        <f>IF(SUM(CM38:CO38)&lt;$BZ$4,"",adjustparameter($AB38,0.01,SUM(CM38,CN38,CO38)/$AB38,$BZ$4))</f>
        <v>0.01</v>
      </c>
      <c r="CQ38" s="166">
        <f t="shared" si="58"/>
        <v>0.99</v>
      </c>
      <c r="CR38" s="599">
        <f>IF($CK38="n/a","",IF(SUM(CM38:CO38)&lt;$BZ$4,"",adjustparameter($AO38,0.5*$AO38,SUM(SUM(CO38)*CP38/$AB38/$AO38),($BZ$4-SUM(CM38:CN38)*CP38/$AB38))))</f>
        <v>1500</v>
      </c>
      <c r="CS38" s="166">
        <f t="shared" si="59"/>
        <v>0.5</v>
      </c>
      <c r="CT38" s="234"/>
      <c r="CU38" s="166">
        <f t="shared" si="60"/>
      </c>
      <c r="CV38" s="124"/>
      <c r="CW38" s="166">
        <f t="shared" si="61"/>
      </c>
      <c r="CX38" s="595" t="str">
        <f t="shared" si="62"/>
        <v>indoor, ventilation</v>
      </c>
      <c r="CY38" s="165">
        <f>IF(CX38="","",VLOOKUP(CX38,Picklist!$C$2:$E$5,3))</f>
        <v>2.5</v>
      </c>
      <c r="CZ38" s="594">
        <f t="shared" si="63"/>
        <v>0.027883023869005624</v>
      </c>
      <c r="DA38" s="165"/>
      <c r="DB38" s="166">
        <f t="shared" si="64"/>
      </c>
      <c r="DC38" s="165">
        <f t="shared" si="65"/>
        <v>0.35000000000000037</v>
      </c>
      <c r="DD38" s="165" t="str">
        <f t="shared" si="66"/>
        <v>n/a</v>
      </c>
      <c r="DE38" s="165">
        <f t="shared" si="67"/>
        <v>0.0011290080261163625</v>
      </c>
      <c r="DF38" s="165">
        <f t="shared" si="68"/>
        <v>0.01750000000000002</v>
      </c>
      <c r="DG38" s="165" t="str">
        <f t="shared" si="69"/>
        <v>n/a</v>
      </c>
      <c r="DH38" s="165">
        <f t="shared" si="70"/>
        <v>1.6128686087376607E-05</v>
      </c>
      <c r="DI38" s="167">
        <f t="shared" si="71"/>
        <v>0.017516128686087394</v>
      </c>
      <c r="DJ38" s="165">
        <f t="shared" si="72"/>
        <v>3.5000000000000004</v>
      </c>
      <c r="DK38" s="165" t="str">
        <f t="shared" si="7"/>
        <v>n/a</v>
      </c>
      <c r="DL38" s="165">
        <f t="shared" si="73"/>
        <v>0.002258016052232723</v>
      </c>
      <c r="DM38" s="168">
        <f t="shared" si="74"/>
        <v>3.502258016052233</v>
      </c>
      <c r="DN38" s="235"/>
      <c r="DO38" s="165">
        <f t="shared" si="75"/>
        <v>35.00000000000001</v>
      </c>
      <c r="DP38" s="165" t="str">
        <f t="shared" si="76"/>
        <v>n/a</v>
      </c>
      <c r="DQ38" s="165">
        <f t="shared" si="77"/>
        <v>0.04645564490025842</v>
      </c>
      <c r="DR38" s="598">
        <f>IF(SUM(DO38:DQ38)&lt;$BZ$4,"",adjustparameter($AB38,0.01,SUM(DO38,DP38,DQ38)/$AB38,$BZ$4))</f>
        <v>0.025680200278140317</v>
      </c>
      <c r="DS38" s="166">
        <f t="shared" si="78"/>
        <v>0.9743197997218597</v>
      </c>
      <c r="DT38" s="597">
        <f>IF($CK38="n/a","",IF(SUM(DO38:DQ38)&lt;$BZ$4,"",adjustparameter($AO38,0.5*$AO38,SUM(SUM(DQ38)*DR38/$AB38/$AO38),($BZ$4-SUM(DO38:DP38)*DR38/$AB38))))</f>
        <v>2999.9999999999627</v>
      </c>
      <c r="DU38" s="166">
        <f t="shared" si="8"/>
        <v>1.242976092423002E-14</v>
      </c>
      <c r="DV38" s="234"/>
      <c r="DW38" s="166">
        <f t="shared" si="79"/>
      </c>
      <c r="DX38" s="234"/>
      <c r="DY38" s="166">
        <f t="shared" si="80"/>
      </c>
      <c r="DZ38" s="595">
        <f t="shared" si="81"/>
      </c>
      <c r="EA38" s="165">
        <f>IF(DZ38="","",VLOOKUP(DZ38,Picklist!$C$2:$E$5,3))</f>
      </c>
      <c r="EB38" s="594">
        <f t="shared" si="82"/>
      </c>
      <c r="EC38" s="234"/>
      <c r="ED38" s="166">
        <f t="shared" si="83"/>
      </c>
      <c r="EE38" s="593">
        <f t="shared" si="84"/>
        <v>0.8988070097349118</v>
      </c>
      <c r="EF38" s="594" t="str">
        <f t="shared" si="85"/>
        <v>n/a</v>
      </c>
      <c r="EG38" s="594">
        <f t="shared" si="86"/>
        <v>0.005964951325443949</v>
      </c>
      <c r="EH38" s="165">
        <f t="shared" si="87"/>
        <v>0.04494035048674559</v>
      </c>
      <c r="EI38" s="165" t="str">
        <f t="shared" si="88"/>
        <v>n/a</v>
      </c>
      <c r="EJ38" s="165">
        <f t="shared" si="89"/>
        <v>8.521359036348498E-05</v>
      </c>
      <c r="EK38" s="167">
        <f t="shared" si="90"/>
        <v>0.04502556407710908</v>
      </c>
      <c r="EL38" s="165">
        <f t="shared" si="91"/>
        <v>0.8988070097349112</v>
      </c>
      <c r="EM38" s="165" t="str">
        <f t="shared" si="9"/>
        <v>n/a</v>
      </c>
      <c r="EN38" s="165">
        <f t="shared" si="92"/>
        <v>0.0011929902650887894</v>
      </c>
      <c r="EO38" s="168">
        <f t="shared" si="93"/>
        <v>0.9</v>
      </c>
      <c r="EP38" s="235"/>
      <c r="EQ38" s="165">
        <f t="shared" si="94"/>
        <v>7.000000000000002</v>
      </c>
      <c r="ER38" s="165" t="str">
        <f t="shared" si="95"/>
        <v>n/a</v>
      </c>
      <c r="ES38" s="165">
        <f t="shared" si="96"/>
        <v>0.009291128980051683</v>
      </c>
      <c r="ET38" s="596">
        <f>IF(SUM(EQ38:ES38)&lt;$BZ$4,"",adjustparameter($AB38,0.01,SUM(EQ38,ER38,ES38)/$AB38,$BZ$4))</f>
        <v>0.12840100139070157</v>
      </c>
      <c r="EU38" s="166">
        <f t="shared" si="97"/>
        <v>0.8715989986092985</v>
      </c>
      <c r="EV38" s="597">
        <f>IF($CK38="n/a","",IF(SUM(EQ38:ES38)&lt;$BZ$4,"",adjustparameter($AO38,0.5*$AO38,SUM(SUM(ES38)*ET38/$AB38/$AO38),($BZ$4-SUM(EQ38:ER38)*ET38/$AB38))))</f>
        <v>2999.9999999999627</v>
      </c>
      <c r="EW38" s="166">
        <f t="shared" si="98"/>
        <v>1.242976092423002E-14</v>
      </c>
      <c r="EX38" s="234"/>
      <c r="EY38" s="166">
        <f t="shared" si="99"/>
      </c>
      <c r="EZ38" s="234"/>
      <c r="FA38" s="166">
        <f t="shared" si="100"/>
      </c>
      <c r="FB38" s="595">
        <f t="shared" si="101"/>
      </c>
      <c r="FC38" s="165">
        <f>IF(FB38="","",VLOOKUP(FB38,Picklist!$C$2:$E$5,3))</f>
      </c>
      <c r="FD38" s="594">
        <f t="shared" si="102"/>
      </c>
      <c r="FE38" s="234"/>
      <c r="FF38" s="166">
        <f t="shared" si="10"/>
      </c>
      <c r="FG38" s="593">
        <f t="shared" si="103"/>
        <v>4.494035048674555</v>
      </c>
      <c r="FH38" s="594" t="str">
        <f t="shared" si="104"/>
        <v>n/a</v>
      </c>
      <c r="FI38" s="594">
        <f t="shared" si="105"/>
        <v>0.02982475662721972</v>
      </c>
      <c r="FJ38" s="165">
        <f t="shared" si="106"/>
        <v>0.22470175243372775</v>
      </c>
      <c r="FK38" s="165" t="str">
        <f t="shared" si="107"/>
        <v>n/a</v>
      </c>
      <c r="FL38" s="165">
        <f t="shared" si="108"/>
        <v>0.0004260679518174246</v>
      </c>
      <c r="FM38" s="167">
        <f t="shared" si="109"/>
        <v>0.22512782038554519</v>
      </c>
      <c r="FN38" s="165">
        <f t="shared" si="110"/>
        <v>0.8988070097349112</v>
      </c>
      <c r="FO38" s="165" t="str">
        <f t="shared" si="11"/>
        <v>n/a</v>
      </c>
      <c r="FP38" s="165">
        <f t="shared" si="111"/>
        <v>0.0011929902650887891</v>
      </c>
      <c r="FQ38" s="168">
        <f t="shared" si="112"/>
        <v>0.9</v>
      </c>
      <c r="FR38" s="235"/>
      <c r="FS38" s="165">
        <f t="shared" si="113"/>
        <v>1.7500000000000004</v>
      </c>
      <c r="FT38" s="165" t="str">
        <f t="shared" si="114"/>
        <v>n/a</v>
      </c>
      <c r="FU38" s="165">
        <f t="shared" si="115"/>
        <v>0.0023227822450129208</v>
      </c>
      <c r="FV38" s="596">
        <f>IF(SUM(FS38:FU38)&lt;$BZ$4,"",adjustparameter($AB38,0.01,SUM(FS38,FT38,FU38)/$AB38,$BZ$4))</f>
        <v>0.5136040055628063</v>
      </c>
      <c r="FW38" s="166">
        <f t="shared" si="116"/>
        <v>0.4863959944371937</v>
      </c>
      <c r="FX38" s="597">
        <f>IF($CK38="n/a","",IF(SUM(FS38:FU38)&lt;$BZ$4,"",adjustparameter($AO38,0.5*$AO38,SUM(SUM(FU38)*FV38/$AB38/$AO38),($BZ$4-SUM(FS38:FT38)*FV38/$AB38))))</f>
        <v>2999.9999999999627</v>
      </c>
      <c r="FY38" s="166">
        <f t="shared" si="117"/>
        <v>1.242976092423002E-14</v>
      </c>
      <c r="FZ38" s="234"/>
      <c r="GA38" s="166">
        <f t="shared" si="118"/>
      </c>
      <c r="GB38" s="234"/>
      <c r="GC38" s="166">
        <f t="shared" si="119"/>
      </c>
      <c r="GD38" s="595">
        <f t="shared" si="120"/>
      </c>
      <c r="GE38" s="165">
        <f>IF(GD38="","",VLOOKUP(GD38,Picklist!$C$2:$E$5,3))</f>
      </c>
      <c r="GF38" s="594">
        <f t="shared" si="121"/>
      </c>
      <c r="GG38" s="234"/>
      <c r="GH38" s="166">
        <f t="shared" si="12"/>
      </c>
      <c r="GI38" s="593">
        <f t="shared" si="122"/>
        <v>17.976140194698225</v>
      </c>
      <c r="GJ38" s="594" t="str">
        <f t="shared" si="123"/>
        <v>n/a</v>
      </c>
      <c r="GK38" s="594">
        <f t="shared" si="124"/>
        <v>0.1192990265088789</v>
      </c>
      <c r="GL38" s="165">
        <f t="shared" si="125"/>
        <v>0.8988070097349112</v>
      </c>
      <c r="GM38" s="165" t="str">
        <f t="shared" si="126"/>
        <v>n/a</v>
      </c>
      <c r="GN38" s="165">
        <f t="shared" si="127"/>
        <v>0.0017042718072696986</v>
      </c>
      <c r="GO38" s="167">
        <f t="shared" si="128"/>
        <v>0.900511281542181</v>
      </c>
      <c r="GP38" s="165">
        <f t="shared" si="129"/>
        <v>0.8988070097349112</v>
      </c>
      <c r="GQ38" s="165" t="str">
        <f t="shared" si="13"/>
        <v>n/a</v>
      </c>
      <c r="GR38" s="165">
        <f t="shared" si="130"/>
        <v>0.0011929902650887891</v>
      </c>
      <c r="GS38" s="170">
        <f t="shared" si="131"/>
        <v>0.9</v>
      </c>
      <c r="GT38" s="137"/>
      <c r="GU38" s="137"/>
      <c r="GV38" s="137"/>
      <c r="GW38" s="137"/>
      <c r="GX38" s="137"/>
      <c r="GY38" s="137"/>
      <c r="GZ38" s="137"/>
      <c r="HA38" s="137"/>
      <c r="HB38" s="137"/>
      <c r="HC38" s="137"/>
      <c r="HD38" s="137"/>
      <c r="HE38" s="137"/>
      <c r="HF38" s="137"/>
      <c r="HG38" s="137"/>
      <c r="HH38" s="137"/>
      <c r="HI38" s="137"/>
      <c r="HJ38" s="137"/>
      <c r="HK38" s="137"/>
      <c r="HL38" s="137"/>
      <c r="HM38" s="137"/>
      <c r="HN38" s="137"/>
      <c r="HO38" s="137"/>
      <c r="HP38" s="137"/>
      <c r="HQ38" s="137"/>
      <c r="HR38" s="137"/>
      <c r="HS38" s="137"/>
      <c r="HT38" s="137"/>
      <c r="HU38" s="137"/>
      <c r="HV38" s="137"/>
      <c r="HW38" s="137"/>
      <c r="HX38" s="137"/>
      <c r="HY38" s="137"/>
      <c r="HZ38" s="137"/>
      <c r="IA38" s="137"/>
      <c r="IB38" s="137"/>
      <c r="IC38" s="137"/>
      <c r="ID38" s="137"/>
      <c r="IE38" s="137"/>
      <c r="IF38" s="137"/>
      <c r="IG38" s="137"/>
      <c r="IH38" s="137"/>
      <c r="II38" s="137"/>
      <c r="IJ38" s="137"/>
      <c r="IK38" s="137"/>
      <c r="IL38" s="137"/>
      <c r="IM38" s="137"/>
      <c r="IN38" s="137"/>
    </row>
    <row r="39" spans="1:248" s="228" customFormat="1" ht="118.5">
      <c r="A39" s="138"/>
      <c r="B39" s="145"/>
      <c r="C39" s="222" t="s">
        <v>387</v>
      </c>
      <c r="D39" s="223" t="s">
        <v>36</v>
      </c>
      <c r="E39" s="224" t="s">
        <v>145</v>
      </c>
      <c r="F39" s="209">
        <v>0.5</v>
      </c>
      <c r="G39" s="128" t="s">
        <v>388</v>
      </c>
      <c r="H39" s="225"/>
      <c r="I39" s="128" t="s">
        <v>388</v>
      </c>
      <c r="J39" s="128" t="s">
        <v>139</v>
      </c>
      <c r="K39" s="128">
        <v>1</v>
      </c>
      <c r="L39" s="128">
        <v>857.5</v>
      </c>
      <c r="M39" s="225"/>
      <c r="N39" s="128">
        <v>5000</v>
      </c>
      <c r="O39" s="128">
        <v>20</v>
      </c>
      <c r="P39" s="210">
        <v>4</v>
      </c>
      <c r="Q39" s="151">
        <f t="shared" si="14"/>
        <v>71.45833333333334</v>
      </c>
      <c r="R39" s="132" t="str">
        <f t="shared" si="15"/>
        <v>n/a</v>
      </c>
      <c r="S39" s="143">
        <f t="shared" si="16"/>
        <v>11416.666666666668</v>
      </c>
      <c r="T39" s="143">
        <f t="shared" si="17"/>
        <v>125000</v>
      </c>
      <c r="U39" s="143">
        <f t="shared" si="18"/>
        <v>125000</v>
      </c>
      <c r="V39" s="152">
        <f t="shared" si="19"/>
        <v>11488.125000000002</v>
      </c>
      <c r="W39" s="153">
        <f t="shared" si="20"/>
        <v>3.572916666666667</v>
      </c>
      <c r="X39" s="154" t="str">
        <f t="shared" si="21"/>
        <v>n/a</v>
      </c>
      <c r="Y39" s="154" t="str">
        <f t="shared" si="22"/>
        <v>n/a</v>
      </c>
      <c r="Z39" s="154">
        <f t="shared" si="23"/>
        <v>1785.7142857142858</v>
      </c>
      <c r="AA39" s="155">
        <f t="shared" si="24"/>
        <v>1789.2872023809525</v>
      </c>
      <c r="AB39" s="116">
        <v>1</v>
      </c>
      <c r="AC39" s="105" t="s">
        <v>229</v>
      </c>
      <c r="AD39" s="609">
        <v>1</v>
      </c>
      <c r="AE39" s="127" t="s">
        <v>640</v>
      </c>
      <c r="AF39" s="105">
        <v>210</v>
      </c>
      <c r="AG39" s="127" t="s">
        <v>146</v>
      </c>
      <c r="AH39" s="105"/>
      <c r="AI39" s="105"/>
      <c r="AJ39" s="305"/>
      <c r="AK39" s="306"/>
      <c r="AL39" s="127"/>
      <c r="AM39" s="571"/>
      <c r="AN39" s="193"/>
      <c r="AO39" s="114">
        <v>100</v>
      </c>
      <c r="AP39" s="114" t="s">
        <v>154</v>
      </c>
      <c r="AQ39" s="105">
        <v>0.05</v>
      </c>
      <c r="AR39" s="114" t="s">
        <v>172</v>
      </c>
      <c r="AS39" s="129" t="s">
        <v>496</v>
      </c>
      <c r="AT39" s="120">
        <f t="shared" si="25"/>
        <v>0.6</v>
      </c>
      <c r="AU39" s="131" t="str">
        <f t="shared" si="139"/>
        <v>RIVM  general fact sheet</v>
      </c>
      <c r="AV39" s="131">
        <f t="shared" si="26"/>
        <v>0.9961101202578011</v>
      </c>
      <c r="AW39" s="156">
        <f t="shared" si="137"/>
        <v>20</v>
      </c>
      <c r="AX39" s="156" t="str">
        <f t="shared" si="138"/>
        <v>TRA default</v>
      </c>
      <c r="AY39" s="230">
        <v>0.013</v>
      </c>
      <c r="AZ39" s="200" t="s">
        <v>159</v>
      </c>
      <c r="BA39" s="125">
        <f t="shared" si="0"/>
        <v>35.00000000000001</v>
      </c>
      <c r="BB39" s="125">
        <f t="shared" si="1"/>
        <v>35.00000000000001</v>
      </c>
      <c r="BC39" s="120">
        <f t="shared" si="27"/>
        <v>10</v>
      </c>
      <c r="BD39" s="120" t="str">
        <f t="shared" si="2"/>
        <v>n/a</v>
      </c>
      <c r="BE39" s="120" t="str">
        <f t="shared" si="3"/>
        <v>n/a</v>
      </c>
      <c r="BF39" s="120">
        <f t="shared" si="4"/>
        <v>0.07391967184079766</v>
      </c>
      <c r="BG39" s="120">
        <f t="shared" si="28"/>
        <v>249.02753006445036</v>
      </c>
      <c r="BH39" s="120">
        <f t="shared" si="29"/>
      </c>
      <c r="BI39" s="120">
        <f t="shared" si="5"/>
        <v>0.13488991211824394</v>
      </c>
      <c r="BJ39" s="158">
        <f t="shared" si="30"/>
        <v>0.13488991211824394</v>
      </c>
      <c r="BK39" s="159">
        <f t="shared" si="31"/>
        <v>35.073919671840805</v>
      </c>
      <c r="BL39" s="160" t="str">
        <f t="shared" si="32"/>
        <v>n/a</v>
      </c>
      <c r="BM39" s="161" t="str">
        <f t="shared" si="33"/>
        <v>n/a</v>
      </c>
      <c r="BN39" s="161">
        <f t="shared" si="34"/>
        <v>1.7500000000000004</v>
      </c>
      <c r="BO39" s="162" t="str">
        <f t="shared" si="35"/>
        <v>n/a</v>
      </c>
      <c r="BP39" s="161">
        <f t="shared" si="36"/>
        <v>0.001926998744546342</v>
      </c>
      <c r="BQ39" s="162">
        <f t="shared" si="37"/>
        <v>1.7519269987445467</v>
      </c>
      <c r="BR39" s="161">
        <f t="shared" si="38"/>
        <v>1.7500000000000004</v>
      </c>
      <c r="BS39" s="161" t="str">
        <f t="shared" si="39"/>
        <v>n/a</v>
      </c>
      <c r="BT39" s="161">
        <f t="shared" si="40"/>
        <v>0.001926998744546342</v>
      </c>
      <c r="BU39" s="161">
        <f t="shared" si="41"/>
        <v>1.7519269987445467</v>
      </c>
      <c r="BV39" s="163" t="str">
        <f t="shared" si="42"/>
        <v>Unless otherwise stated, covers concentrations up to 100% [ConsOC1]; covers use up to 364 days/year[ConsOC3]; covers use up to 1 time/on day of use[ConsOC4]; covers skin contact area up to 210,00 cm2 [ConsOC5]; for each use event, covers use amounts up to 100g [ConsOC2]; covers use under typical household ventilation [ConsOC8]; covers use in room size of 20m3[ConsOC11]; for each use event, covers exposure up to 0,01hr/event[ConsOC14]; </v>
      </c>
      <c r="BW39" s="126" t="str">
        <f t="shared" si="43"/>
        <v>No specific RMMs developed beyond those OCs stated</v>
      </c>
      <c r="BX39" s="125" t="str">
        <f t="shared" si="44"/>
        <v>Based upon daily use</v>
      </c>
      <c r="BY39" s="120">
        <f t="shared" si="45"/>
        <v>1.7500000000000004</v>
      </c>
      <c r="BZ39" s="120" t="str">
        <f t="shared" si="46"/>
        <v>n/a</v>
      </c>
      <c r="CA39" s="120">
        <f t="shared" si="47"/>
        <v>0.001926998744546342</v>
      </c>
      <c r="CB39" s="164">
        <f t="shared" si="48"/>
        <v>1.7519269987445467</v>
      </c>
      <c r="CC39" s="120">
        <f t="shared" si="49"/>
        <v>10</v>
      </c>
      <c r="CD39" s="120" t="str">
        <f t="shared" si="50"/>
        <v>n/a</v>
      </c>
      <c r="CE39" s="159">
        <f t="shared" si="51"/>
        <v>0.13488991211824394</v>
      </c>
      <c r="CF39" s="138"/>
      <c r="CG39" s="226" t="str">
        <f t="shared" si="135"/>
        <v>PC13:Fuels</v>
      </c>
      <c r="CH39" s="227" t="str">
        <f t="shared" si="136"/>
        <v>Liquid - subcategories added: Lamp oil</v>
      </c>
      <c r="CI39" s="120">
        <f t="shared" si="52"/>
        <v>35.00000000000001</v>
      </c>
      <c r="CJ39" s="120" t="str">
        <f t="shared" si="53"/>
        <v>n/a</v>
      </c>
      <c r="CK39" s="120">
        <f t="shared" si="54"/>
        <v>0.13488991211824394</v>
      </c>
      <c r="CL39" s="124"/>
      <c r="CM39" s="165">
        <f t="shared" si="55"/>
        <v>350.00000000000006</v>
      </c>
      <c r="CN39" s="165" t="str">
        <f t="shared" si="56"/>
        <v>n/a</v>
      </c>
      <c r="CO39" s="165">
        <f t="shared" si="57"/>
        <v>0.2697798242364879</v>
      </c>
      <c r="CP39" s="598">
        <f>IF(SUM(CM39:CO39)&lt;$BZ$4,"",adjustparameter($AB39,0.01,SUM(CM39,CN39,CO39)/$AB39,$BZ$4))</f>
        <v>0.01</v>
      </c>
      <c r="CQ39" s="166">
        <f t="shared" si="58"/>
        <v>0.99</v>
      </c>
      <c r="CR39" s="599">
        <f>IF($CK39="n/a","",IF(SUM(CM39:CO39)&lt;$BZ$4,"",adjustparameter($AO39,0.5*$AO39,SUM(SUM(CO39)*CP39/$AB39/$AO39),($BZ$4-SUM(CM39:CN39)*CP39/$AB39))))</f>
        <v>50</v>
      </c>
      <c r="CS39" s="166">
        <f t="shared" si="59"/>
        <v>0.5</v>
      </c>
      <c r="CT39" s="124"/>
      <c r="CU39" s="166">
        <f t="shared" si="60"/>
      </c>
      <c r="CV39" s="124"/>
      <c r="CW39" s="166">
        <f t="shared" si="61"/>
      </c>
      <c r="CX39" s="595" t="str">
        <f t="shared" si="62"/>
        <v>indoor, ventilation</v>
      </c>
      <c r="CY39" s="165">
        <f>IF(CX39="","",VLOOKUP(CX39,Picklist!$C$2:$E$5,3))</f>
        <v>2.5</v>
      </c>
      <c r="CZ39" s="594">
        <f t="shared" si="63"/>
        <v>0.012233084911785026</v>
      </c>
      <c r="DA39" s="165"/>
      <c r="DB39" s="166">
        <f t="shared" si="64"/>
      </c>
      <c r="DC39" s="165">
        <f t="shared" si="65"/>
        <v>0.35000000000000037</v>
      </c>
      <c r="DD39" s="165" t="str">
        <f t="shared" si="66"/>
        <v>n/a</v>
      </c>
      <c r="DE39" s="165">
        <f t="shared" si="67"/>
        <v>0.0006661989618477919</v>
      </c>
      <c r="DF39" s="165">
        <f t="shared" si="68"/>
        <v>0.01750000000000002</v>
      </c>
      <c r="DG39" s="165" t="str">
        <f t="shared" si="69"/>
        <v>n/a</v>
      </c>
      <c r="DH39" s="165">
        <f t="shared" si="70"/>
        <v>9.517128026397027E-06</v>
      </c>
      <c r="DI39" s="167">
        <f t="shared" si="71"/>
        <v>0.017509517128026415</v>
      </c>
      <c r="DJ39" s="165">
        <f t="shared" si="72"/>
        <v>3.5000000000000004</v>
      </c>
      <c r="DK39" s="165" t="str">
        <f t="shared" si="7"/>
        <v>n/a</v>
      </c>
      <c r="DL39" s="165">
        <f t="shared" si="73"/>
        <v>0.0013323979236955826</v>
      </c>
      <c r="DM39" s="168">
        <f t="shared" si="74"/>
        <v>3.501332397923696</v>
      </c>
      <c r="DN39" s="169"/>
      <c r="DO39" s="165">
        <f t="shared" si="75"/>
        <v>35.00000000000001</v>
      </c>
      <c r="DP39" s="165" t="str">
        <f t="shared" si="76"/>
        <v>n/a</v>
      </c>
      <c r="DQ39" s="165">
        <f t="shared" si="77"/>
        <v>0.026977982423648787</v>
      </c>
      <c r="DR39" s="598">
        <f>IF(SUM(DO39:DQ39)&lt;$BZ$4,"",adjustparameter($AB39,0.01,SUM(DO39,DP39,DQ39)/$AB39,$BZ$4))</f>
        <v>0.025694480421679967</v>
      </c>
      <c r="DS39" s="166">
        <f t="shared" si="78"/>
        <v>0.97430551957832</v>
      </c>
      <c r="DT39" s="597">
        <f>IF($CK39="n/a","",IF(SUM(DO39:DQ39)&lt;$BZ$4,"",adjustparameter($AO39,0.5*$AO39,SUM(SUM(DQ39)*DR39/$AB39/$AO39),($BZ$4-SUM(DO39:DP39)*DR39/$AB39))))</f>
      </c>
      <c r="DU39" s="166">
        <f t="shared" si="8"/>
      </c>
      <c r="DV39" s="124"/>
      <c r="DW39" s="166">
        <f t="shared" si="79"/>
      </c>
      <c r="DX39" s="124"/>
      <c r="DY39" s="166">
        <f t="shared" si="80"/>
      </c>
      <c r="DZ39" s="595">
        <f t="shared" si="81"/>
      </c>
      <c r="EA39" s="165">
        <f>IF(DZ39="","",VLOOKUP(DZ39,Picklist!$C$2:$E$5,3))</f>
      </c>
      <c r="EB39" s="594">
        <f t="shared" si="82"/>
      </c>
      <c r="EC39" s="124"/>
      <c r="ED39" s="166">
        <f t="shared" si="83"/>
      </c>
      <c r="EE39" s="593">
        <f t="shared" si="84"/>
        <v>0.8993068147587998</v>
      </c>
      <c r="EF39" s="594" t="str">
        <f t="shared" si="85"/>
        <v>n/a</v>
      </c>
      <c r="EG39" s="594">
        <f t="shared" si="86"/>
        <v>0.003465926206004353</v>
      </c>
      <c r="EH39" s="165">
        <f t="shared" si="87"/>
        <v>0.04496534073793999</v>
      </c>
      <c r="EI39" s="165" t="str">
        <f t="shared" si="88"/>
        <v>n/a</v>
      </c>
      <c r="EJ39" s="165">
        <f t="shared" si="89"/>
        <v>4.95132315143479E-05</v>
      </c>
      <c r="EK39" s="167">
        <f t="shared" si="90"/>
        <v>0.045014853969454344</v>
      </c>
      <c r="EL39" s="165">
        <f t="shared" si="91"/>
        <v>0.899306814758799</v>
      </c>
      <c r="EM39" s="165" t="str">
        <f t="shared" si="9"/>
        <v>n/a</v>
      </c>
      <c r="EN39" s="165">
        <f t="shared" si="92"/>
        <v>0.0006931852412008701</v>
      </c>
      <c r="EO39" s="168">
        <f t="shared" si="93"/>
        <v>0.8999999999999999</v>
      </c>
      <c r="EP39" s="169"/>
      <c r="EQ39" s="165">
        <f t="shared" si="94"/>
        <v>7.000000000000002</v>
      </c>
      <c r="ER39" s="165" t="str">
        <f t="shared" si="95"/>
        <v>n/a</v>
      </c>
      <c r="ES39" s="165">
        <f t="shared" si="96"/>
        <v>0.005395596484729758</v>
      </c>
      <c r="ET39" s="596">
        <f>IF(SUM(EQ39:ES39)&lt;$BZ$4,"",adjustparameter($AB39,0.01,SUM(EQ39,ER39,ES39)/$AB39,$BZ$4))</f>
        <v>0.12847240210839983</v>
      </c>
      <c r="EU39" s="166">
        <f t="shared" si="97"/>
        <v>0.8715275978916002</v>
      </c>
      <c r="EV39" s="597">
        <f>IF($CK39="n/a","",IF(SUM(EQ39:ES39)&lt;$BZ$4,"",adjustparameter($AO39,0.5*$AO39,SUM(SUM(ES39)*ET39/$AB39/$AO39),($BZ$4-SUM(EQ39:ER39)*ET39/$AB39))))</f>
      </c>
      <c r="EW39" s="166">
        <f t="shared" si="98"/>
      </c>
      <c r="EX39" s="124"/>
      <c r="EY39" s="166">
        <f t="shared" si="99"/>
      </c>
      <c r="EZ39" s="124"/>
      <c r="FA39" s="166">
        <f t="shared" si="100"/>
      </c>
      <c r="FB39" s="595">
        <f t="shared" si="101"/>
      </c>
      <c r="FC39" s="165">
        <f>IF(FB39="","",VLOOKUP(FB39,Picklist!$C$2:$E$5,3))</f>
      </c>
      <c r="FD39" s="594">
        <f t="shared" si="102"/>
      </c>
      <c r="FE39" s="124"/>
      <c r="FF39" s="166">
        <f t="shared" si="10"/>
      </c>
      <c r="FG39" s="593">
        <f t="shared" si="103"/>
        <v>4.496534073793995</v>
      </c>
      <c r="FH39" s="594" t="str">
        <f t="shared" si="104"/>
        <v>n/a</v>
      </c>
      <c r="FI39" s="594">
        <f t="shared" si="105"/>
        <v>0.01732963103002175</v>
      </c>
      <c r="FJ39" s="165">
        <f t="shared" si="106"/>
        <v>0.22482670368969976</v>
      </c>
      <c r="FK39" s="165" t="str">
        <f t="shared" si="107"/>
        <v>n/a</v>
      </c>
      <c r="FL39" s="165">
        <f t="shared" si="108"/>
        <v>0.0002475661575717393</v>
      </c>
      <c r="FM39" s="167">
        <f t="shared" si="109"/>
        <v>0.2250742698472715</v>
      </c>
      <c r="FN39" s="165">
        <f t="shared" si="110"/>
        <v>0.899306814758799</v>
      </c>
      <c r="FO39" s="165" t="str">
        <f t="shared" si="11"/>
        <v>n/a</v>
      </c>
      <c r="FP39" s="165">
        <f t="shared" si="111"/>
        <v>0.0006931852412008701</v>
      </c>
      <c r="FQ39" s="168">
        <f t="shared" si="112"/>
        <v>0.8999999999999999</v>
      </c>
      <c r="FR39" s="169"/>
      <c r="FS39" s="165">
        <f t="shared" si="113"/>
        <v>1.7500000000000004</v>
      </c>
      <c r="FT39" s="165" t="str">
        <f t="shared" si="114"/>
        <v>n/a</v>
      </c>
      <c r="FU39" s="165">
        <f t="shared" si="115"/>
        <v>0.0013488991211824395</v>
      </c>
      <c r="FV39" s="596">
        <f>IF(SUM(FS39:FU39)&lt;$BZ$4,"",adjustparameter($AB39,0.01,SUM(FS39,FT39,FU39)/$AB39,$BZ$4))</f>
        <v>0.5138896084335993</v>
      </c>
      <c r="FW39" s="166">
        <f t="shared" si="116"/>
        <v>0.4861103915664007</v>
      </c>
      <c r="FX39" s="597">
        <f>IF($CK39="n/a","",IF(SUM(FS39:FU39)&lt;$BZ$4,"",adjustparameter($AO39,0.5*$AO39,SUM(SUM(FU39)*FV39/$AB39/$AO39),($BZ$4-SUM(FS39:FT39)*FV39/$AB39))))</f>
      </c>
      <c r="FY39" s="166">
        <f t="shared" si="117"/>
      </c>
      <c r="FZ39" s="124"/>
      <c r="GA39" s="166">
        <f t="shared" si="118"/>
      </c>
      <c r="GB39" s="124"/>
      <c r="GC39" s="166">
        <f t="shared" si="119"/>
      </c>
      <c r="GD39" s="595">
        <f t="shared" si="120"/>
      </c>
      <c r="GE39" s="165">
        <f>IF(GD39="","",VLOOKUP(GD39,Picklist!$C$2:$E$5,3))</f>
      </c>
      <c r="GF39" s="594">
        <f t="shared" si="121"/>
      </c>
      <c r="GG39" s="124"/>
      <c r="GH39" s="166">
        <f t="shared" si="12"/>
      </c>
      <c r="GI39" s="593">
        <f t="shared" si="122"/>
        <v>17.98613629517598</v>
      </c>
      <c r="GJ39" s="594" t="str">
        <f t="shared" si="123"/>
        <v>n/a</v>
      </c>
      <c r="GK39" s="594">
        <f t="shared" si="124"/>
        <v>0.069318524120087</v>
      </c>
      <c r="GL39" s="165">
        <f t="shared" si="125"/>
        <v>0.899306814758799</v>
      </c>
      <c r="GM39" s="165" t="str">
        <f t="shared" si="126"/>
        <v>n/a</v>
      </c>
      <c r="GN39" s="165">
        <f t="shared" si="127"/>
        <v>0.0009902646302869572</v>
      </c>
      <c r="GO39" s="167">
        <f t="shared" si="128"/>
        <v>0.900297079389086</v>
      </c>
      <c r="GP39" s="165">
        <f t="shared" si="129"/>
        <v>0.899306814758799</v>
      </c>
      <c r="GQ39" s="165" t="str">
        <f t="shared" si="13"/>
        <v>n/a</v>
      </c>
      <c r="GR39" s="165">
        <f t="shared" si="130"/>
        <v>0.0006931852412008701</v>
      </c>
      <c r="GS39" s="170">
        <f t="shared" si="131"/>
        <v>0.8999999999999999</v>
      </c>
      <c r="GT39" s="138"/>
      <c r="GU39" s="138"/>
      <c r="GV39" s="138"/>
      <c r="GW39" s="138"/>
      <c r="GX39" s="138"/>
      <c r="GY39" s="138"/>
      <c r="GZ39" s="138"/>
      <c r="HA39" s="138"/>
      <c r="HB39" s="138"/>
      <c r="HC39" s="138"/>
      <c r="HD39" s="138"/>
      <c r="HE39" s="138"/>
      <c r="HF39" s="138"/>
      <c r="HG39" s="138"/>
      <c r="HH39" s="138"/>
      <c r="HI39" s="138"/>
      <c r="HJ39" s="138"/>
      <c r="HK39" s="138"/>
      <c r="HL39" s="138"/>
      <c r="HM39" s="138"/>
      <c r="HN39" s="138"/>
      <c r="HO39" s="138"/>
      <c r="HP39" s="138"/>
      <c r="HQ39" s="138"/>
      <c r="HR39" s="138"/>
      <c r="HS39" s="138"/>
      <c r="HT39" s="138"/>
      <c r="HU39" s="138"/>
      <c r="HV39" s="138"/>
      <c r="HW39" s="138"/>
      <c r="HX39" s="138"/>
      <c r="HY39" s="138"/>
      <c r="HZ39" s="138"/>
      <c r="IA39" s="138"/>
      <c r="IB39" s="138"/>
      <c r="IC39" s="138"/>
      <c r="ID39" s="138"/>
      <c r="IE39" s="138"/>
      <c r="IF39" s="138"/>
      <c r="IG39" s="138"/>
      <c r="IH39" s="138"/>
      <c r="II39" s="138"/>
      <c r="IJ39" s="138"/>
      <c r="IK39" s="138"/>
      <c r="IL39" s="138"/>
      <c r="IM39" s="138"/>
      <c r="IN39" s="138"/>
    </row>
    <row r="40" spans="1:201" s="139" customFormat="1" ht="118.5">
      <c r="A40" s="144"/>
      <c r="B40" s="145"/>
      <c r="C40" s="172" t="s">
        <v>387</v>
      </c>
      <c r="D40" s="196" t="s">
        <v>240</v>
      </c>
      <c r="E40" s="237" t="s">
        <v>483</v>
      </c>
      <c r="F40" s="179">
        <v>0.5</v>
      </c>
      <c r="G40" s="121" t="s">
        <v>388</v>
      </c>
      <c r="H40" s="121"/>
      <c r="I40" s="121" t="s">
        <v>388</v>
      </c>
      <c r="J40" s="121" t="s">
        <v>139</v>
      </c>
      <c r="K40" s="121">
        <v>1</v>
      </c>
      <c r="L40" s="121">
        <v>428.75</v>
      </c>
      <c r="M40" s="121"/>
      <c r="N40" s="121">
        <v>3750</v>
      </c>
      <c r="O40" s="121">
        <v>20</v>
      </c>
      <c r="P40" s="176">
        <v>2.2</v>
      </c>
      <c r="Q40" s="151">
        <f t="shared" si="14"/>
        <v>35.72916666666667</v>
      </c>
      <c r="R40" s="132" t="str">
        <f t="shared" si="15"/>
        <v>n/a</v>
      </c>
      <c r="S40" s="143">
        <f t="shared" si="16"/>
        <v>4709.375</v>
      </c>
      <c r="T40" s="143">
        <f t="shared" si="17"/>
        <v>93750</v>
      </c>
      <c r="U40" s="143">
        <f t="shared" si="18"/>
        <v>93750</v>
      </c>
      <c r="V40" s="152">
        <f t="shared" si="19"/>
        <v>4745.104166666667</v>
      </c>
      <c r="W40" s="153">
        <f t="shared" si="20"/>
        <v>1.7864583333333335</v>
      </c>
      <c r="X40" s="154" t="str">
        <f t="shared" si="21"/>
        <v>n/a</v>
      </c>
      <c r="Y40" s="154" t="str">
        <f t="shared" si="22"/>
        <v>n/a</v>
      </c>
      <c r="Z40" s="154">
        <f t="shared" si="23"/>
        <v>1339.2857142857142</v>
      </c>
      <c r="AA40" s="155">
        <f t="shared" si="24"/>
        <v>1341.0721726190475</v>
      </c>
      <c r="AB40" s="94">
        <v>0.015</v>
      </c>
      <c r="AC40" s="93" t="s">
        <v>436</v>
      </c>
      <c r="AD40" s="156">
        <v>0.04</v>
      </c>
      <c r="AE40" s="125" t="s">
        <v>653</v>
      </c>
      <c r="AF40" s="575">
        <v>428.75</v>
      </c>
      <c r="AG40" s="204" t="s">
        <v>515</v>
      </c>
      <c r="AH40" s="302"/>
      <c r="AI40" s="302"/>
      <c r="AJ40" s="303"/>
      <c r="AK40" s="303"/>
      <c r="AL40" s="204"/>
      <c r="AM40" s="87"/>
      <c r="AN40" s="120"/>
      <c r="AO40" s="87">
        <v>2760</v>
      </c>
      <c r="AP40" s="99" t="s">
        <v>435</v>
      </c>
      <c r="AQ40" s="314"/>
      <c r="AR40" s="99"/>
      <c r="AS40" s="118" t="s">
        <v>496</v>
      </c>
      <c r="AT40" s="120">
        <f t="shared" si="25"/>
        <v>0.6</v>
      </c>
      <c r="AU40" s="131" t="str">
        <f t="shared" si="139"/>
        <v>RIVM  general fact sheet</v>
      </c>
      <c r="AV40" s="131">
        <f t="shared" si="26"/>
        <v>0.5552005288137497</v>
      </c>
      <c r="AW40" s="156">
        <f t="shared" si="137"/>
        <v>20</v>
      </c>
      <c r="AX40" s="156" t="str">
        <f t="shared" si="138"/>
        <v>TRA default</v>
      </c>
      <c r="AY40" s="121">
        <v>2.2</v>
      </c>
      <c r="AZ40" s="184" t="s">
        <v>515</v>
      </c>
      <c r="BA40" s="125">
        <f t="shared" si="0"/>
        <v>1.0718750000000001</v>
      </c>
      <c r="BB40" s="125">
        <f t="shared" si="1"/>
        <v>0.042875</v>
      </c>
      <c r="BC40" s="120">
        <f t="shared" si="27"/>
        <v>0.15</v>
      </c>
      <c r="BD40" s="120" t="str">
        <f t="shared" si="2"/>
        <v>n/a</v>
      </c>
      <c r="BE40" s="120" t="str">
        <f t="shared" si="3"/>
        <v>n/a</v>
      </c>
      <c r="BF40" s="120">
        <f t="shared" si="4"/>
        <v>57.73141658764014</v>
      </c>
      <c r="BG40" s="120">
        <f t="shared" si="28"/>
        <v>1149.265094644462</v>
      </c>
      <c r="BH40" s="120">
        <f t="shared" si="29"/>
      </c>
      <c r="BI40" s="120">
        <f t="shared" si="5"/>
        <v>105.34930034240902</v>
      </c>
      <c r="BJ40" s="158">
        <f t="shared" si="30"/>
        <v>4.2139720136963605</v>
      </c>
      <c r="BK40" s="159">
        <f t="shared" si="31"/>
        <v>58.80329158764014</v>
      </c>
      <c r="BL40" s="160" t="str">
        <f t="shared" si="32"/>
        <v>n/a</v>
      </c>
      <c r="BM40" s="161" t="str">
        <f t="shared" si="33"/>
        <v>n/a</v>
      </c>
      <c r="BN40" s="161">
        <f t="shared" si="34"/>
        <v>0.05359375000000001</v>
      </c>
      <c r="BO40" s="162" t="str">
        <f t="shared" si="35"/>
        <v>n/a</v>
      </c>
      <c r="BP40" s="161">
        <f t="shared" si="36"/>
        <v>1.5049900048915574</v>
      </c>
      <c r="BQ40" s="162">
        <f t="shared" si="37"/>
        <v>1.5585837548915575</v>
      </c>
      <c r="BR40" s="161">
        <f t="shared" si="38"/>
        <v>0.0021437500000000003</v>
      </c>
      <c r="BS40" s="161" t="str">
        <f t="shared" si="39"/>
        <v>n/a</v>
      </c>
      <c r="BT40" s="161">
        <f t="shared" si="40"/>
        <v>0.06019960019566229</v>
      </c>
      <c r="BU40" s="161">
        <f t="shared" si="41"/>
        <v>0.06234335019566229</v>
      </c>
      <c r="BV40" s="163" t="str">
        <f t="shared" si="42"/>
        <v>Unless otherwise stated, covers concentrations up to 1,5% [ConsOC1]; covers use up to 11 days/year[ConsOC3]; covers use up to 1 time/on day of use[ConsOC4]; covers skin contact area up to 428,75 cm2 [ConsOC5]; for each use event, covers use amounts up to 2760g [ConsOC2]; covers use under typical household ventilation [ConsOC8]; covers use in room size of 20m3[ConsOC11]; for each use event, covers exposure up to 2,20hr/event[ConsOC14]; </v>
      </c>
      <c r="BW40" s="126" t="str">
        <f t="shared" si="43"/>
        <v>No specific RMMs identified beyond those OCs stated</v>
      </c>
      <c r="BX40" s="125" t="str">
        <f t="shared" si="44"/>
        <v>Based upon infrequent use (&lt;365 days/yr)</v>
      </c>
      <c r="BY40" s="120">
        <f t="shared" si="45"/>
        <v>0.0021437500000000003</v>
      </c>
      <c r="BZ40" s="120" t="str">
        <f t="shared" si="46"/>
        <v>n/a</v>
      </c>
      <c r="CA40" s="120">
        <f t="shared" si="47"/>
        <v>0.06019960019566229</v>
      </c>
      <c r="CB40" s="164">
        <f t="shared" si="48"/>
        <v>0.06234335019566229</v>
      </c>
      <c r="CC40" s="120">
        <f t="shared" si="49"/>
        <v>0.15</v>
      </c>
      <c r="CD40" s="120" t="str">
        <f t="shared" si="50"/>
        <v>n/a</v>
      </c>
      <c r="CE40" s="159">
        <f t="shared" si="51"/>
        <v>4.2139720136963605</v>
      </c>
      <c r="CF40" s="138"/>
      <c r="CG40" s="226" t="str">
        <f t="shared" si="135"/>
        <v>PC15_n: Non-metal surface treatment products</v>
      </c>
      <c r="CH40" s="227" t="str">
        <f t="shared" si="136"/>
        <v>Waterborne latex wall paint</v>
      </c>
      <c r="CI40" s="120">
        <f t="shared" si="52"/>
        <v>0.042875</v>
      </c>
      <c r="CJ40" s="120" t="str">
        <f t="shared" si="53"/>
        <v>n/a</v>
      </c>
      <c r="CK40" s="120">
        <f t="shared" si="54"/>
        <v>4.2139720136963605</v>
      </c>
      <c r="CL40" s="165"/>
      <c r="CM40" s="165">
        <f t="shared" si="55"/>
        <v>0.42875</v>
      </c>
      <c r="CN40" s="165" t="str">
        <f t="shared" si="56"/>
        <v>n/a</v>
      </c>
      <c r="CO40" s="165">
        <f t="shared" si="57"/>
        <v>8.427944027392721</v>
      </c>
      <c r="CP40" s="598">
        <f>IF(SUM(CM40:CO40)&lt;$BZ$4,"",adjustparameter($AB40,0.01,SUM(CM40,CN40,CO40)/$AB40,$BZ$4))</f>
        <v>0.01</v>
      </c>
      <c r="CQ40" s="166">
        <f t="shared" si="58"/>
        <v>0.3333333333333333</v>
      </c>
      <c r="CR40" s="599">
        <f>IF($CK40="n/a","",IF(SUM(CM40:CO40)&lt;$BZ$4,"",adjustparameter($AO40,0.5*$AO40,SUM(SUM(CO40)*CP40/$AB40/$AO40),($BZ$4-SUM(CM40:CN40)*CP40/$AB40))))</f>
        <v>1380</v>
      </c>
      <c r="CS40" s="166">
        <f t="shared" si="59"/>
        <v>0.5</v>
      </c>
      <c r="CT40" s="165"/>
      <c r="CU40" s="166">
        <f t="shared" si="60"/>
      </c>
      <c r="CV40" s="124"/>
      <c r="CW40" s="166">
        <f t="shared" si="61"/>
      </c>
      <c r="CX40" s="595" t="str">
        <f t="shared" si="62"/>
        <v>indoor, ventilation</v>
      </c>
      <c r="CY40" s="165">
        <f>IF(CX40="","",VLOOKUP(CX40,Picklist!$C$2:$E$5,3))</f>
        <v>2.5</v>
      </c>
      <c r="CZ40" s="594">
        <f t="shared" si="63"/>
        <v>0.6738563400639732</v>
      </c>
      <c r="DA40" s="165"/>
      <c r="DB40" s="166">
        <f t="shared" si="64"/>
      </c>
      <c r="DC40" s="165">
        <f t="shared" si="65"/>
        <v>0.02858333333333334</v>
      </c>
      <c r="DD40" s="165" t="str">
        <f t="shared" si="66"/>
        <v>n/a</v>
      </c>
      <c r="DE40" s="165">
        <f t="shared" si="67"/>
        <v>0.45812008513830665</v>
      </c>
      <c r="DF40" s="165">
        <f t="shared" si="68"/>
        <v>0.001429166666666667</v>
      </c>
      <c r="DG40" s="165" t="str">
        <f t="shared" si="69"/>
        <v>n/a</v>
      </c>
      <c r="DH40" s="165">
        <f t="shared" si="70"/>
        <v>0.006544572644832952</v>
      </c>
      <c r="DI40" s="167">
        <f t="shared" si="71"/>
        <v>0.007973739311499618</v>
      </c>
      <c r="DJ40" s="165">
        <f t="shared" si="72"/>
        <v>0.2858333333333334</v>
      </c>
      <c r="DK40" s="165" t="str">
        <f t="shared" si="7"/>
        <v>n/a</v>
      </c>
      <c r="DL40" s="165">
        <f t="shared" si="73"/>
        <v>0.9162401702766132</v>
      </c>
      <c r="DM40" s="168">
        <f t="shared" si="74"/>
        <v>1.2020735036099466</v>
      </c>
      <c r="DN40" s="185"/>
      <c r="DO40" s="165">
        <f t="shared" si="75"/>
        <v>0.042875</v>
      </c>
      <c r="DP40" s="165" t="str">
        <f t="shared" si="76"/>
        <v>n/a</v>
      </c>
      <c r="DQ40" s="165">
        <f t="shared" si="77"/>
        <v>0.8427944027392721</v>
      </c>
      <c r="DR40" s="598">
        <f>IF(SUM(DO40:DQ40)&lt;$BZ$4,"",adjustparameter($AB40,0.01,SUM(DO40,DP40,DQ40)/$AB40,$BZ$4))</f>
      </c>
      <c r="DS40" s="166">
        <f t="shared" si="78"/>
      </c>
      <c r="DT40" s="597">
        <f>IF($CK40="n/a","",IF(SUM(DO40:DQ40)&lt;$BZ$4,"",adjustparameter($AO40,0.5*$AO40,SUM(SUM(DQ40)*DR40/$AB40/$AO40),($BZ$4-SUM(DO40:DP40)*DR40/$AB40))))</f>
      </c>
      <c r="DU40" s="166">
        <f t="shared" si="8"/>
      </c>
      <c r="DV40" s="165"/>
      <c r="DW40" s="166">
        <f t="shared" si="79"/>
      </c>
      <c r="DX40" s="165"/>
      <c r="DY40" s="166">
        <f t="shared" si="80"/>
      </c>
      <c r="DZ40" s="595">
        <f t="shared" si="81"/>
      </c>
      <c r="EA40" s="165">
        <f>IF(DZ40="","",VLOOKUP(DZ40,Picklist!$C$2:$E$5,3))</f>
      </c>
      <c r="EB40" s="594">
        <f t="shared" si="82"/>
      </c>
      <c r="EC40" s="165"/>
      <c r="ED40" s="166">
        <f t="shared" si="83"/>
      </c>
      <c r="EE40" s="593">
        <f t="shared" si="84"/>
        <v>0.042875</v>
      </c>
      <c r="EF40" s="594" t="str">
        <f t="shared" si="85"/>
        <v>n/a</v>
      </c>
      <c r="EG40" s="594">
        <f t="shared" si="86"/>
        <v>4.2139720136963605</v>
      </c>
      <c r="EH40" s="165">
        <f t="shared" si="87"/>
        <v>0.0021437500000000003</v>
      </c>
      <c r="EI40" s="165" t="str">
        <f t="shared" si="88"/>
        <v>n/a</v>
      </c>
      <c r="EJ40" s="165">
        <f t="shared" si="89"/>
        <v>0.06019960019566229</v>
      </c>
      <c r="EK40" s="167">
        <f t="shared" si="90"/>
        <v>0.06234335019566229</v>
      </c>
      <c r="EL40" s="165">
        <f t="shared" si="91"/>
        <v>0.042875</v>
      </c>
      <c r="EM40" s="165" t="str">
        <f t="shared" si="9"/>
        <v>n/a</v>
      </c>
      <c r="EN40" s="165">
        <f t="shared" si="92"/>
        <v>0.8427944027392721</v>
      </c>
      <c r="EO40" s="168">
        <f t="shared" si="93"/>
        <v>0.8856694027392721</v>
      </c>
      <c r="EP40" s="185"/>
      <c r="EQ40" s="165">
        <f t="shared" si="94"/>
        <v>0.008575000000000001</v>
      </c>
      <c r="ER40" s="165" t="str">
        <f t="shared" si="95"/>
        <v>n/a</v>
      </c>
      <c r="ES40" s="165">
        <f t="shared" si="96"/>
        <v>0.16855888054785442</v>
      </c>
      <c r="ET40" s="596">
        <f>IF(SUM(EQ40:ES40)&lt;$BZ$4,"",adjustparameter($AB40,0.01,SUM(EQ40,ER40,ES40)/$AB40,$BZ$4))</f>
      </c>
      <c r="EU40" s="166">
        <f t="shared" si="97"/>
      </c>
      <c r="EV40" s="597">
        <f>IF($CK40="n/a","",IF(SUM(EQ40:ES40)&lt;$BZ$4,"",adjustparameter($AO40,0.5*$AO40,SUM(SUM(ES40)*ET40/$AB40/$AO40),($BZ$4-SUM(EQ40:ER40)*ET40/$AB40))))</f>
      </c>
      <c r="EW40" s="166">
        <f t="shared" si="98"/>
      </c>
      <c r="EX40" s="165"/>
      <c r="EY40" s="166">
        <f t="shared" si="99"/>
      </c>
      <c r="EZ40" s="217"/>
      <c r="FA40" s="166">
        <f t="shared" si="100"/>
      </c>
      <c r="FB40" s="595">
        <f t="shared" si="101"/>
      </c>
      <c r="FC40" s="165">
        <f>IF(FB40="","",VLOOKUP(FB40,Picklist!$C$2:$E$5,3))</f>
      </c>
      <c r="FD40" s="594">
        <f t="shared" si="102"/>
      </c>
      <c r="FE40" s="165"/>
      <c r="FF40" s="166">
        <f t="shared" si="10"/>
      </c>
      <c r="FG40" s="593">
        <f t="shared" si="103"/>
        <v>0.042875</v>
      </c>
      <c r="FH40" s="594" t="str">
        <f t="shared" si="104"/>
        <v>n/a</v>
      </c>
      <c r="FI40" s="594">
        <f t="shared" si="105"/>
        <v>4.2139720136963605</v>
      </c>
      <c r="FJ40" s="165">
        <f t="shared" si="106"/>
        <v>0.0021437500000000003</v>
      </c>
      <c r="FK40" s="165" t="str">
        <f t="shared" si="107"/>
        <v>n/a</v>
      </c>
      <c r="FL40" s="165">
        <f t="shared" si="108"/>
        <v>0.06019960019566229</v>
      </c>
      <c r="FM40" s="167">
        <f t="shared" si="109"/>
        <v>0.06234335019566229</v>
      </c>
      <c r="FN40" s="165">
        <f t="shared" si="110"/>
        <v>0.008575000000000001</v>
      </c>
      <c r="FO40" s="165" t="str">
        <f t="shared" si="11"/>
        <v>n/a</v>
      </c>
      <c r="FP40" s="165">
        <f t="shared" si="111"/>
        <v>0.16855888054785442</v>
      </c>
      <c r="FQ40" s="168">
        <f t="shared" si="112"/>
        <v>0.17713388054785442</v>
      </c>
      <c r="FR40" s="185"/>
      <c r="FS40" s="165">
        <f t="shared" si="113"/>
        <v>0.0021437500000000003</v>
      </c>
      <c r="FT40" s="165" t="str">
        <f t="shared" si="114"/>
        <v>n/a</v>
      </c>
      <c r="FU40" s="165">
        <f t="shared" si="115"/>
        <v>0.042139720136963606</v>
      </c>
      <c r="FV40" s="596">
        <f>IF(SUM(FS40:FU40)&lt;$BZ$4,"",adjustparameter($AB40,0.01,SUM(FS40,FT40,FU40)/$AB40,$BZ$4))</f>
      </c>
      <c r="FW40" s="166">
        <f t="shared" si="116"/>
      </c>
      <c r="FX40" s="597">
        <f>IF($CK40="n/a","",IF(SUM(FS40:FU40)&lt;$BZ$4,"",adjustparameter($AO40,0.5*$AO40,SUM(SUM(FU40)*FV40/$AB40/$AO40),($BZ$4-SUM(FS40:FT40)*FV40/$AB40))))</f>
      </c>
      <c r="FY40" s="166">
        <f t="shared" si="117"/>
      </c>
      <c r="FZ40" s="165"/>
      <c r="GA40" s="166">
        <f t="shared" si="118"/>
      </c>
      <c r="GB40" s="165"/>
      <c r="GC40" s="166">
        <f t="shared" si="119"/>
      </c>
      <c r="GD40" s="595">
        <f t="shared" si="120"/>
      </c>
      <c r="GE40" s="165">
        <f>IF(GD40="","",VLOOKUP(GD40,Picklist!$C$2:$E$5,3))</f>
      </c>
      <c r="GF40" s="594">
        <f t="shared" si="121"/>
      </c>
      <c r="GG40" s="165"/>
      <c r="GH40" s="166">
        <f t="shared" si="12"/>
      </c>
      <c r="GI40" s="593">
        <f t="shared" si="122"/>
        <v>0.042875</v>
      </c>
      <c r="GJ40" s="594" t="str">
        <f t="shared" si="123"/>
        <v>n/a</v>
      </c>
      <c r="GK40" s="594">
        <f t="shared" si="124"/>
        <v>4.2139720136963605</v>
      </c>
      <c r="GL40" s="165">
        <f t="shared" si="125"/>
        <v>0.0021437500000000003</v>
      </c>
      <c r="GM40" s="165" t="str">
        <f t="shared" si="126"/>
        <v>n/a</v>
      </c>
      <c r="GN40" s="165">
        <f t="shared" si="127"/>
        <v>0.06019960019566229</v>
      </c>
      <c r="GO40" s="167">
        <f t="shared" si="128"/>
        <v>0.06234335019566229</v>
      </c>
      <c r="GP40" s="165">
        <f t="shared" si="129"/>
        <v>0.0021437500000000003</v>
      </c>
      <c r="GQ40" s="165" t="str">
        <f t="shared" si="13"/>
        <v>n/a</v>
      </c>
      <c r="GR40" s="165">
        <f t="shared" si="130"/>
        <v>0.042139720136963606</v>
      </c>
      <c r="GS40" s="170">
        <f t="shared" si="131"/>
        <v>0.044283470136963606</v>
      </c>
    </row>
    <row r="41" spans="1:201" s="139" customFormat="1" ht="119.25" customHeight="1">
      <c r="A41" s="144"/>
      <c r="B41" s="145"/>
      <c r="C41" s="172" t="s">
        <v>387</v>
      </c>
      <c r="D41" s="188" t="s">
        <v>240</v>
      </c>
      <c r="E41" s="237" t="s">
        <v>486</v>
      </c>
      <c r="F41" s="179">
        <v>0.5</v>
      </c>
      <c r="G41" s="121" t="s">
        <v>388</v>
      </c>
      <c r="H41" s="121"/>
      <c r="I41" s="121" t="s">
        <v>388</v>
      </c>
      <c r="J41" s="121" t="s">
        <v>139</v>
      </c>
      <c r="K41" s="121">
        <v>1</v>
      </c>
      <c r="L41" s="121">
        <v>428.75</v>
      </c>
      <c r="M41" s="121"/>
      <c r="N41" s="121">
        <v>1300</v>
      </c>
      <c r="O41" s="121">
        <v>20</v>
      </c>
      <c r="P41" s="176">
        <v>2.2</v>
      </c>
      <c r="Q41" s="151">
        <f t="shared" si="14"/>
        <v>35.72916666666667</v>
      </c>
      <c r="R41" s="132" t="str">
        <f t="shared" si="15"/>
        <v>n/a</v>
      </c>
      <c r="S41" s="143">
        <f t="shared" si="16"/>
        <v>1632.5833333333337</v>
      </c>
      <c r="T41" s="143">
        <f t="shared" si="17"/>
        <v>32500</v>
      </c>
      <c r="U41" s="143">
        <f t="shared" si="18"/>
        <v>32500</v>
      </c>
      <c r="V41" s="152">
        <f t="shared" si="19"/>
        <v>1668.3125000000005</v>
      </c>
      <c r="W41" s="153">
        <f t="shared" si="20"/>
        <v>1.7864583333333335</v>
      </c>
      <c r="X41" s="154" t="str">
        <f t="shared" si="21"/>
        <v>n/a</v>
      </c>
      <c r="Y41" s="154" t="str">
        <f t="shared" si="22"/>
        <v>n/a</v>
      </c>
      <c r="Z41" s="154">
        <f t="shared" si="23"/>
        <v>464.2857142857143</v>
      </c>
      <c r="AA41" s="155">
        <f t="shared" si="24"/>
        <v>466.0721726190476</v>
      </c>
      <c r="AB41" s="94">
        <v>0.275</v>
      </c>
      <c r="AC41" s="93" t="s">
        <v>433</v>
      </c>
      <c r="AD41" s="156">
        <v>0.04</v>
      </c>
      <c r="AE41" s="134" t="s">
        <v>654</v>
      </c>
      <c r="AF41" s="575">
        <v>428.75</v>
      </c>
      <c r="AG41" s="204" t="s">
        <v>515</v>
      </c>
      <c r="AH41" s="302"/>
      <c r="AI41" s="302"/>
      <c r="AJ41" s="303"/>
      <c r="AK41" s="303"/>
      <c r="AL41" s="204"/>
      <c r="AM41" s="87"/>
      <c r="AN41" s="120"/>
      <c r="AO41" s="87">
        <v>744</v>
      </c>
      <c r="AP41" s="99" t="s">
        <v>437</v>
      </c>
      <c r="AQ41" s="314"/>
      <c r="AR41" s="99"/>
      <c r="AS41" s="118" t="s">
        <v>496</v>
      </c>
      <c r="AT41" s="120">
        <f t="shared" si="25"/>
        <v>0.6</v>
      </c>
      <c r="AU41" s="131" t="str">
        <f t="shared" si="139"/>
        <v>RIVM  general fact sheet</v>
      </c>
      <c r="AV41" s="131">
        <f t="shared" si="26"/>
        <v>0.5552005288137497</v>
      </c>
      <c r="AW41" s="156">
        <f t="shared" si="137"/>
        <v>20</v>
      </c>
      <c r="AX41" s="156" t="str">
        <f t="shared" si="138"/>
        <v>TRA default</v>
      </c>
      <c r="AY41" s="121">
        <v>2.2</v>
      </c>
      <c r="AZ41" s="184" t="s">
        <v>515</v>
      </c>
      <c r="BA41" s="125">
        <f t="shared" si="0"/>
        <v>19.65104166666667</v>
      </c>
      <c r="BB41" s="125">
        <f t="shared" si="1"/>
        <v>0.7860416666666669</v>
      </c>
      <c r="BC41" s="120">
        <f t="shared" si="27"/>
        <v>2.7500000000000004</v>
      </c>
      <c r="BD41" s="120" t="str">
        <f t="shared" si="2"/>
        <v>n/a</v>
      </c>
      <c r="BE41" s="120" t="str">
        <f t="shared" si="3"/>
        <v>n/a</v>
      </c>
      <c r="BF41" s="120">
        <f t="shared" si="4"/>
        <v>285.3103341505115</v>
      </c>
      <c r="BG41" s="120">
        <f t="shared" si="28"/>
        <v>5679.701409764661</v>
      </c>
      <c r="BH41" s="120">
        <f t="shared" si="29"/>
      </c>
      <c r="BI41" s="120">
        <f t="shared" si="5"/>
        <v>520.6392958950939</v>
      </c>
      <c r="BJ41" s="158">
        <f t="shared" si="30"/>
        <v>20.825571835803757</v>
      </c>
      <c r="BK41" s="159">
        <f t="shared" si="31"/>
        <v>304.9613758171782</v>
      </c>
      <c r="BL41" s="160" t="str">
        <f t="shared" si="32"/>
        <v>n/a</v>
      </c>
      <c r="BM41" s="161" t="str">
        <f t="shared" si="33"/>
        <v>n/a</v>
      </c>
      <c r="BN41" s="161">
        <f t="shared" si="34"/>
        <v>0.9825520833333335</v>
      </c>
      <c r="BO41" s="162" t="str">
        <f t="shared" si="35"/>
        <v>n/a</v>
      </c>
      <c r="BP41" s="161">
        <f t="shared" si="36"/>
        <v>7.4377042270727705</v>
      </c>
      <c r="BQ41" s="162">
        <f t="shared" si="37"/>
        <v>8.420256310406105</v>
      </c>
      <c r="BR41" s="161">
        <f t="shared" si="38"/>
        <v>0.03930208333333334</v>
      </c>
      <c r="BS41" s="161" t="str">
        <f t="shared" si="39"/>
        <v>n/a</v>
      </c>
      <c r="BT41" s="161">
        <f t="shared" si="40"/>
        <v>0.29750816908291083</v>
      </c>
      <c r="BU41" s="161">
        <f t="shared" si="41"/>
        <v>0.3368102524162442</v>
      </c>
      <c r="BV41" s="163" t="str">
        <f t="shared" si="42"/>
        <v>Unless otherwise stated, covers concentrations up to 27,5% [ConsOC1]; covers use up to 11 days/year[ConsOC3]; covers use up to 1 time/on day of use[ConsOC4]; covers skin contact area up to 428,75 cm2 [ConsOC5]; for each use event, covers use amounts up to 744g [ConsOC2]; covers use under typical household ventilation [ConsOC8]; covers use in room size of 20m3[ConsOC11]; for each use event, covers exposure up to 2,20hr/event[ConsOC14]; </v>
      </c>
      <c r="BW41" s="126" t="str">
        <f t="shared" si="43"/>
        <v>No specific RMMs identified beyond those OCs stated</v>
      </c>
      <c r="BX41" s="125" t="str">
        <f t="shared" si="44"/>
        <v>Based upon infrequent use (&lt;365 days/yr)</v>
      </c>
      <c r="BY41" s="120">
        <f t="shared" si="45"/>
        <v>0.03930208333333334</v>
      </c>
      <c r="BZ41" s="120" t="str">
        <f t="shared" si="46"/>
        <v>n/a</v>
      </c>
      <c r="CA41" s="120">
        <f t="shared" si="47"/>
        <v>0.29750816908291083</v>
      </c>
      <c r="CB41" s="164">
        <f t="shared" si="48"/>
        <v>0.3368102524162442</v>
      </c>
      <c r="CC41" s="120">
        <f t="shared" si="49"/>
        <v>2.7500000000000004</v>
      </c>
      <c r="CD41" s="120" t="str">
        <f t="shared" si="50"/>
        <v>n/a</v>
      </c>
      <c r="CE41" s="159">
        <f t="shared" si="51"/>
        <v>20.825571835803757</v>
      </c>
      <c r="CF41" s="138"/>
      <c r="CG41" s="226" t="str">
        <f t="shared" si="135"/>
        <v>PC15_n: Non-metal surface treatment products</v>
      </c>
      <c r="CH41" s="227" t="str">
        <f t="shared" si="136"/>
        <v>Solvent rich, high solid, water borne paint</v>
      </c>
      <c r="CI41" s="120">
        <f t="shared" si="52"/>
        <v>0.7860416666666669</v>
      </c>
      <c r="CJ41" s="120" t="str">
        <f t="shared" si="53"/>
        <v>n/a</v>
      </c>
      <c r="CK41" s="120">
        <f t="shared" si="54"/>
        <v>20.825571835803757</v>
      </c>
      <c r="CL41" s="165"/>
      <c r="CM41" s="165">
        <f t="shared" si="55"/>
        <v>7.860416666666668</v>
      </c>
      <c r="CN41" s="165" t="str">
        <f t="shared" si="56"/>
        <v>n/a</v>
      </c>
      <c r="CO41" s="165">
        <f t="shared" si="57"/>
        <v>41.651143671607514</v>
      </c>
      <c r="CP41" s="598">
        <f>IF(SUM(CM41:CO41)&lt;$BZ$4,"",adjustparameter($AB41,0.01,SUM(CM41,CN41,CO41)/$AB41,$BZ$4))</f>
        <v>0.01</v>
      </c>
      <c r="CQ41" s="166">
        <f t="shared" si="58"/>
        <v>0.9636363636363636</v>
      </c>
      <c r="CR41" s="599">
        <f>IF($CK41="n/a","",IF(SUM(CM41:CO41)&lt;$BZ$4,"",adjustparameter($AO41,0.5*$AO41,SUM(SUM(CO41)*CP41/$AB41/$AO41),($BZ$4-SUM(CM41:CN41)*CP41/$AB41))))</f>
        <v>372</v>
      </c>
      <c r="CS41" s="166">
        <f t="shared" si="59"/>
        <v>0.5</v>
      </c>
      <c r="CT41" s="165"/>
      <c r="CU41" s="166">
        <f t="shared" si="60"/>
      </c>
      <c r="CV41" s="124"/>
      <c r="CW41" s="166">
        <f t="shared" si="61"/>
      </c>
      <c r="CX41" s="595" t="str">
        <f t="shared" si="62"/>
        <v>indoor, ventilation</v>
      </c>
      <c r="CY41" s="165">
        <f>IF(CX41="","",VLOOKUP(CX41,Picklist!$C$2:$E$5,3))</f>
        <v>2.5</v>
      </c>
      <c r="CZ41" s="594">
        <f t="shared" si="63"/>
        <v>0.6738563400639732</v>
      </c>
      <c r="DA41" s="165"/>
      <c r="DB41" s="166">
        <f t="shared" si="64"/>
      </c>
      <c r="DC41" s="165">
        <f t="shared" si="65"/>
        <v>0.02858333333333335</v>
      </c>
      <c r="DD41" s="165" t="str">
        <f t="shared" si="66"/>
        <v>n/a</v>
      </c>
      <c r="DE41" s="165">
        <f t="shared" si="67"/>
        <v>0.12349324034163055</v>
      </c>
      <c r="DF41" s="165">
        <f t="shared" si="68"/>
        <v>0.0014291666666666676</v>
      </c>
      <c r="DG41" s="165" t="str">
        <f t="shared" si="69"/>
        <v>n/a</v>
      </c>
      <c r="DH41" s="165">
        <f t="shared" si="70"/>
        <v>0.0017641891477375793</v>
      </c>
      <c r="DI41" s="167">
        <f t="shared" si="71"/>
        <v>0.003193355814404247</v>
      </c>
      <c r="DJ41" s="165">
        <f t="shared" si="72"/>
        <v>0.2858333333333334</v>
      </c>
      <c r="DK41" s="165" t="str">
        <f t="shared" si="7"/>
        <v>n/a</v>
      </c>
      <c r="DL41" s="165">
        <f t="shared" si="73"/>
        <v>0.24698648068326093</v>
      </c>
      <c r="DM41" s="168">
        <f t="shared" si="74"/>
        <v>0.5328198140165943</v>
      </c>
      <c r="DN41" s="185"/>
      <c r="DO41" s="165">
        <f t="shared" si="75"/>
        <v>0.7860416666666669</v>
      </c>
      <c r="DP41" s="165" t="str">
        <f t="shared" si="76"/>
        <v>n/a</v>
      </c>
      <c r="DQ41" s="165">
        <f t="shared" si="77"/>
        <v>4.165114367160752</v>
      </c>
      <c r="DR41" s="598">
        <f>IF(SUM(DO41:DQ41)&lt;$BZ$4,"",adjustparameter($AB41,0.01,SUM(DO41,DP41,DQ41)/$AB41,$BZ$4))</f>
        <v>0.04998832561709306</v>
      </c>
      <c r="DS41" s="166">
        <f t="shared" si="78"/>
        <v>0.818224270483298</v>
      </c>
      <c r="DT41" s="597">
        <f>IF($CK41="n/a","",IF(SUM(DO41:DQ41)&lt;$BZ$4,"",adjustparameter($AO41,0.5*$AO41,SUM(SUM(DQ41)*DR41/$AB41/$AO41),($BZ$4-SUM(DO41:DP41)*DR41/$AB41))))</f>
      </c>
      <c r="DU41" s="166">
        <f t="shared" si="8"/>
      </c>
      <c r="DV41" s="165"/>
      <c r="DW41" s="166">
        <f t="shared" si="79"/>
      </c>
      <c r="DX41" s="165"/>
      <c r="DY41" s="166">
        <f t="shared" si="80"/>
      </c>
      <c r="DZ41" s="595">
        <f t="shared" si="81"/>
      </c>
      <c r="EA41" s="165">
        <f>IF(DZ41="","",VLOOKUP(DZ41,Picklist!$C$2:$E$5,3))</f>
      </c>
      <c r="EB41" s="594">
        <f t="shared" si="82"/>
      </c>
      <c r="EC41" s="165"/>
      <c r="ED41" s="166">
        <f t="shared" si="83"/>
      </c>
      <c r="EE41" s="593">
        <f t="shared" si="84"/>
        <v>0.14288329738885763</v>
      </c>
      <c r="EF41" s="594" t="str">
        <f t="shared" si="85"/>
        <v>n/a</v>
      </c>
      <c r="EG41" s="594">
        <f t="shared" si="86"/>
        <v>3.78558351305571</v>
      </c>
      <c r="EH41" s="165">
        <f t="shared" si="87"/>
        <v>0.007144164869442882</v>
      </c>
      <c r="EI41" s="165" t="str">
        <f t="shared" si="88"/>
        <v>n/a</v>
      </c>
      <c r="EJ41" s="165">
        <f t="shared" si="89"/>
        <v>0.05407976447222443</v>
      </c>
      <c r="EK41" s="167">
        <f t="shared" si="90"/>
        <v>0.06122392934166731</v>
      </c>
      <c r="EL41" s="165">
        <f t="shared" si="91"/>
        <v>0.1428832973888577</v>
      </c>
      <c r="EM41" s="165" t="str">
        <f t="shared" si="9"/>
        <v>n/a</v>
      </c>
      <c r="EN41" s="165">
        <f t="shared" si="92"/>
        <v>0.7571167026111423</v>
      </c>
      <c r="EO41" s="168">
        <f t="shared" si="93"/>
        <v>0.8999999999999999</v>
      </c>
      <c r="EP41" s="185"/>
      <c r="EQ41" s="165">
        <f t="shared" si="94"/>
        <v>0.15720833333333337</v>
      </c>
      <c r="ER41" s="165" t="str">
        <f t="shared" si="95"/>
        <v>n/a</v>
      </c>
      <c r="ES41" s="165">
        <f t="shared" si="96"/>
        <v>0.8330228734321503</v>
      </c>
      <c r="ET41" s="596">
        <f>IF(SUM(EQ41:ES41)&lt;$BZ$4,"",adjustparameter($AB41,0.01,SUM(EQ41,ER41,ES41)/$AB41,$BZ$4))</f>
        <v>0.2499416280854653</v>
      </c>
      <c r="EU41" s="166">
        <f t="shared" si="97"/>
        <v>0.09112135241648989</v>
      </c>
      <c r="EV41" s="597">
        <f>IF($CK41="n/a","",IF(SUM(EQ41:ES41)&lt;$BZ$4,"",adjustparameter($AO41,0.5*$AO41,SUM(SUM(ES41)*ET41/$AB41/$AO41),($BZ$4-SUM(EQ41:ER41)*ET41/$AB41))))</f>
        <v>743.9999999999999</v>
      </c>
      <c r="EW41" s="166">
        <f t="shared" si="98"/>
        <v>1.5280488941077425E-16</v>
      </c>
      <c r="EX41" s="165"/>
      <c r="EY41" s="166">
        <f t="shared" si="99"/>
      </c>
      <c r="EZ41" s="217"/>
      <c r="FA41" s="166">
        <f t="shared" si="100"/>
      </c>
      <c r="FB41" s="595">
        <f t="shared" si="101"/>
      </c>
      <c r="FC41" s="165">
        <f>IF(FB41="","",VLOOKUP(FB41,Picklist!$C$2:$E$5,3))</f>
      </c>
      <c r="FD41" s="594">
        <f t="shared" si="102"/>
      </c>
      <c r="FE41" s="165"/>
      <c r="FF41" s="166">
        <f t="shared" si="10"/>
      </c>
      <c r="FG41" s="593">
        <f t="shared" si="103"/>
        <v>0.7144164869442884</v>
      </c>
      <c r="FH41" s="594" t="str">
        <f t="shared" si="104"/>
        <v>n/a</v>
      </c>
      <c r="FI41" s="594">
        <f t="shared" si="105"/>
        <v>18.927917565278552</v>
      </c>
      <c r="FJ41" s="165">
        <f t="shared" si="106"/>
        <v>0.03572082434721442</v>
      </c>
      <c r="FK41" s="165" t="str">
        <f t="shared" si="107"/>
        <v>n/a</v>
      </c>
      <c r="FL41" s="165">
        <f t="shared" si="108"/>
        <v>0.27039882236112217</v>
      </c>
      <c r="FM41" s="167">
        <f t="shared" si="109"/>
        <v>0.3061196467083366</v>
      </c>
      <c r="FN41" s="165">
        <f t="shared" si="110"/>
        <v>0.1428832973888577</v>
      </c>
      <c r="FO41" s="165" t="str">
        <f t="shared" si="11"/>
        <v>n/a</v>
      </c>
      <c r="FP41" s="165">
        <f t="shared" si="111"/>
        <v>0.7571167026111422</v>
      </c>
      <c r="FQ41" s="168">
        <f t="shared" si="112"/>
        <v>0.8999999999999999</v>
      </c>
      <c r="FR41" s="185"/>
      <c r="FS41" s="165">
        <f t="shared" si="113"/>
        <v>0.03930208333333334</v>
      </c>
      <c r="FT41" s="165" t="str">
        <f t="shared" si="114"/>
        <v>n/a</v>
      </c>
      <c r="FU41" s="165">
        <f t="shared" si="115"/>
        <v>0.20825571835803758</v>
      </c>
      <c r="FV41" s="596">
        <f>IF(SUM(FS41:FU41)&lt;$BZ$4,"",adjustparameter($AB41,0.01,SUM(FS41,FT41,FU41)/$AB41,$BZ$4))</f>
      </c>
      <c r="FW41" s="166">
        <f t="shared" si="116"/>
      </c>
      <c r="FX41" s="597">
        <f>IF($CK41="n/a","",IF(SUM(FS41:FU41)&lt;$BZ$4,"",adjustparameter($AO41,0.5*$AO41,SUM(SUM(FU41)*FV41/$AB41/$AO41),($BZ$4-SUM(FS41:FT41)*FV41/$AB41))))</f>
      </c>
      <c r="FY41" s="166">
        <f t="shared" si="117"/>
      </c>
      <c r="FZ41" s="165"/>
      <c r="GA41" s="166">
        <f t="shared" si="118"/>
      </c>
      <c r="GB41" s="165"/>
      <c r="GC41" s="166">
        <f t="shared" si="119"/>
      </c>
      <c r="GD41" s="595">
        <f t="shared" si="120"/>
      </c>
      <c r="GE41" s="165">
        <f>IF(GD41="","",VLOOKUP(GD41,Picklist!$C$2:$E$5,3))</f>
      </c>
      <c r="GF41" s="594">
        <f t="shared" si="121"/>
      </c>
      <c r="GG41" s="165"/>
      <c r="GH41" s="166">
        <f t="shared" si="12"/>
      </c>
      <c r="GI41" s="593">
        <f t="shared" si="122"/>
        <v>0.7860416666666669</v>
      </c>
      <c r="GJ41" s="594" t="str">
        <f t="shared" si="123"/>
        <v>n/a</v>
      </c>
      <c r="GK41" s="594">
        <f t="shared" si="124"/>
        <v>20.825571835803757</v>
      </c>
      <c r="GL41" s="165">
        <f t="shared" si="125"/>
        <v>0.03930208333333334</v>
      </c>
      <c r="GM41" s="165" t="str">
        <f t="shared" si="126"/>
        <v>n/a</v>
      </c>
      <c r="GN41" s="165">
        <f t="shared" si="127"/>
        <v>0.29750816908291083</v>
      </c>
      <c r="GO41" s="167">
        <f t="shared" si="128"/>
        <v>0.3368102524162442</v>
      </c>
      <c r="GP41" s="165">
        <f t="shared" si="129"/>
        <v>0.03930208333333334</v>
      </c>
      <c r="GQ41" s="165" t="str">
        <f t="shared" si="13"/>
        <v>n/a</v>
      </c>
      <c r="GR41" s="165">
        <f t="shared" si="130"/>
        <v>0.20825571835803758</v>
      </c>
      <c r="GS41" s="170">
        <f t="shared" si="131"/>
        <v>0.24755780169137093</v>
      </c>
    </row>
    <row r="42" spans="1:201" s="139" customFormat="1" ht="102" customHeight="1">
      <c r="A42" s="144"/>
      <c r="B42" s="145"/>
      <c r="C42" s="172" t="s">
        <v>387</v>
      </c>
      <c r="D42" s="188" t="s">
        <v>240</v>
      </c>
      <c r="E42" s="237" t="s">
        <v>285</v>
      </c>
      <c r="F42" s="179">
        <v>0.5</v>
      </c>
      <c r="G42" s="121"/>
      <c r="H42" s="121"/>
      <c r="I42" s="121" t="s">
        <v>388</v>
      </c>
      <c r="J42" s="121" t="s">
        <v>398</v>
      </c>
      <c r="K42" s="121">
        <v>1</v>
      </c>
      <c r="L42" s="121"/>
      <c r="M42" s="121"/>
      <c r="N42" s="121">
        <v>300</v>
      </c>
      <c r="O42" s="121">
        <v>20</v>
      </c>
      <c r="P42" s="206">
        <v>0.3333333333333333</v>
      </c>
      <c r="Q42" s="151" t="str">
        <f t="shared" si="14"/>
        <v>n/a</v>
      </c>
      <c r="R42" s="132" t="str">
        <f t="shared" si="15"/>
        <v>n/a</v>
      </c>
      <c r="S42" s="143">
        <f t="shared" si="16"/>
        <v>57.083333333333336</v>
      </c>
      <c r="T42" s="143">
        <f t="shared" si="17"/>
        <v>7500</v>
      </c>
      <c r="U42" s="143">
        <f t="shared" si="18"/>
        <v>7500</v>
      </c>
      <c r="V42" s="152">
        <f t="shared" si="19"/>
        <v>57.083333333333336</v>
      </c>
      <c r="W42" s="153" t="str">
        <f t="shared" si="20"/>
        <v>n/a</v>
      </c>
      <c r="X42" s="154" t="str">
        <f t="shared" si="21"/>
        <v>n/a</v>
      </c>
      <c r="Y42" s="154" t="str">
        <f t="shared" si="22"/>
        <v>n/a</v>
      </c>
      <c r="Z42" s="154">
        <f t="shared" si="23"/>
        <v>107.14285714285714</v>
      </c>
      <c r="AA42" s="155">
        <f t="shared" si="24"/>
        <v>107.14285714285714</v>
      </c>
      <c r="AB42" s="92">
        <v>0.5</v>
      </c>
      <c r="AC42" s="88" t="s">
        <v>515</v>
      </c>
      <c r="AD42" s="156">
        <v>0.04</v>
      </c>
      <c r="AE42" s="134" t="s">
        <v>638</v>
      </c>
      <c r="AF42" s="575"/>
      <c r="AG42" s="204"/>
      <c r="AH42" s="302"/>
      <c r="AI42" s="302"/>
      <c r="AJ42" s="304"/>
      <c r="AK42" s="304"/>
      <c r="AL42" s="204"/>
      <c r="AM42" s="87"/>
      <c r="AN42" s="120"/>
      <c r="AO42" s="87">
        <v>215</v>
      </c>
      <c r="AP42" s="99" t="s">
        <v>439</v>
      </c>
      <c r="AQ42" s="314"/>
      <c r="AR42" s="99"/>
      <c r="AS42" s="118" t="s">
        <v>498</v>
      </c>
      <c r="AT42" s="120">
        <f t="shared" si="25"/>
        <v>1.5</v>
      </c>
      <c r="AU42" s="131" t="str">
        <f t="shared" si="139"/>
        <v>RIVM  general fact sheet</v>
      </c>
      <c r="AV42" s="131">
        <f t="shared" si="26"/>
        <v>0.7887456418256379</v>
      </c>
      <c r="AW42" s="156">
        <f t="shared" si="137"/>
        <v>34</v>
      </c>
      <c r="AX42" s="156" t="str">
        <f t="shared" si="138"/>
        <v>RIVM general fact sheet</v>
      </c>
      <c r="AY42" s="218">
        <v>0.33</v>
      </c>
      <c r="AZ42" s="184" t="s">
        <v>515</v>
      </c>
      <c r="BA42" s="125" t="str">
        <f t="shared" si="0"/>
        <v>n/a</v>
      </c>
      <c r="BB42" s="125" t="str">
        <f t="shared" si="1"/>
        <v>n/a</v>
      </c>
      <c r="BC42" s="120" t="str">
        <f t="shared" si="27"/>
        <v>n/a</v>
      </c>
      <c r="BD42" s="120" t="str">
        <f t="shared" si="2"/>
        <v>n/a</v>
      </c>
      <c r="BE42" s="120" t="str">
        <f t="shared" si="3"/>
        <v>n/a</v>
      </c>
      <c r="BF42" s="120">
        <f t="shared" si="4"/>
        <v>18.790994976449696</v>
      </c>
      <c r="BG42" s="120">
        <f t="shared" si="28"/>
        <v>2493.8281322428256</v>
      </c>
      <c r="BH42" s="120">
        <f t="shared" si="29"/>
      </c>
      <c r="BI42" s="120">
        <f t="shared" si="5"/>
        <v>34.29013681833886</v>
      </c>
      <c r="BJ42" s="158">
        <f t="shared" si="30"/>
        <v>1.3716054727335543</v>
      </c>
      <c r="BK42" s="159">
        <f t="shared" si="31"/>
        <v>18.790994976449696</v>
      </c>
      <c r="BL42" s="160" t="str">
        <f t="shared" si="32"/>
        <v>n/a</v>
      </c>
      <c r="BM42" s="161" t="str">
        <f t="shared" si="33"/>
        <v>n/a</v>
      </c>
      <c r="BN42" s="161" t="str">
        <f t="shared" si="34"/>
        <v>n/a</v>
      </c>
      <c r="BO42" s="162" t="str">
        <f t="shared" si="35"/>
        <v>n/a</v>
      </c>
      <c r="BP42" s="161">
        <f t="shared" si="36"/>
        <v>0.48985909740484085</v>
      </c>
      <c r="BQ42" s="162">
        <f t="shared" si="37"/>
        <v>0.48985909740484085</v>
      </c>
      <c r="BR42" s="161" t="str">
        <f t="shared" si="38"/>
        <v>n/a</v>
      </c>
      <c r="BS42" s="161" t="str">
        <f t="shared" si="39"/>
        <v>n/a</v>
      </c>
      <c r="BT42" s="161">
        <f t="shared" si="40"/>
        <v>0.019594363896193633</v>
      </c>
      <c r="BU42" s="161">
        <f t="shared" si="41"/>
        <v>0.019594363896193633</v>
      </c>
      <c r="BV42" s="163" t="str">
        <f t="shared" si="42"/>
        <v>Unless otherwise stated, covers concentrations up to 50% [ConsOC1]; covers use up to 11 days/year[ConsOC3]; covers use up to 1 time/on day of use[ConsOC4]; for each use event, covers use amounts up to 215g [ConsOC2]; Covers use in a one car garage (34m3) under typcial ventilation [ConsOC10]; covers use in room size of 34m3[ConsOC11]; for each use event, covers exposure up to 0,33hr/event[ConsOC14]; </v>
      </c>
      <c r="BW42" s="126" t="str">
        <f t="shared" si="43"/>
        <v>No specific RMMs identified beyond those OCs stated</v>
      </c>
      <c r="BX42" s="125" t="str">
        <f t="shared" si="44"/>
        <v>Based upon daily use</v>
      </c>
      <c r="BY42" s="120" t="str">
        <f t="shared" si="45"/>
        <v>n/a</v>
      </c>
      <c r="BZ42" s="120" t="str">
        <f t="shared" si="46"/>
        <v>n/a</v>
      </c>
      <c r="CA42" s="120">
        <f t="shared" si="47"/>
        <v>0.48985909740484085</v>
      </c>
      <c r="CB42" s="164">
        <f t="shared" si="48"/>
        <v>0.48985909740484085</v>
      </c>
      <c r="CC42" s="120" t="str">
        <f t="shared" si="49"/>
        <v>n/a</v>
      </c>
      <c r="CD42" s="120" t="str">
        <f t="shared" si="50"/>
        <v>n/a</v>
      </c>
      <c r="CE42" s="159">
        <f t="shared" si="51"/>
        <v>34.29013681833886</v>
      </c>
      <c r="CF42" s="138"/>
      <c r="CG42" s="226" t="str">
        <f t="shared" si="135"/>
        <v>PC15_n: Non-metal surface treatment products</v>
      </c>
      <c r="CH42" s="227" t="str">
        <f t="shared" si="136"/>
        <v>Aerosol spray can </v>
      </c>
      <c r="CI42" s="120" t="str">
        <f t="shared" si="52"/>
        <v>n/a</v>
      </c>
      <c r="CJ42" s="120" t="str">
        <f t="shared" si="53"/>
        <v>n/a</v>
      </c>
      <c r="CK42" s="120">
        <f t="shared" si="54"/>
        <v>1.3716054727335543</v>
      </c>
      <c r="CL42" s="165"/>
      <c r="CM42" s="165" t="str">
        <f t="shared" si="55"/>
        <v>n/a</v>
      </c>
      <c r="CN42" s="165" t="str">
        <f t="shared" si="56"/>
        <v>n/a</v>
      </c>
      <c r="CO42" s="165">
        <f t="shared" si="57"/>
        <v>2.7432109454671085</v>
      </c>
      <c r="CP42" s="598">
        <f>IF(SUM(CM42:CO42)&lt;$BZ$4,"",adjustparameter($AB42,0.01,SUM(CM42,CN42,CO42)/$AB42,$BZ$4))</f>
        <v>0.1640413402197821</v>
      </c>
      <c r="CQ42" s="166">
        <f t="shared" si="58"/>
        <v>0.6719173195604358</v>
      </c>
      <c r="CR42" s="599">
        <f>IF($CK42="n/a","",IF(SUM(CM42:CO42)&lt;$BZ$4,"",adjustparameter($AO42,0.5*$AO42,SUM(SUM(CO42)*CP42/$AB42/$AO42),($BZ$4-SUM(CM42:CN42)*CP42/$AB42))))</f>
      </c>
      <c r="CS42" s="166">
        <f t="shared" si="59"/>
      </c>
      <c r="CT42" s="165"/>
      <c r="CU42" s="166">
        <f t="shared" si="60"/>
      </c>
      <c r="CV42" s="124"/>
      <c r="CW42" s="166">
        <f t="shared" si="61"/>
      </c>
      <c r="CX42" s="595">
        <f t="shared" si="62"/>
      </c>
      <c r="CY42" s="165">
        <f>IF(CX42="","",VLOOKUP(CX42,Picklist!$C$2:$E$5,3))</f>
      </c>
      <c r="CZ42" s="594">
        <f t="shared" si="63"/>
      </c>
      <c r="DA42" s="165"/>
      <c r="DB42" s="166">
        <f t="shared" si="64"/>
      </c>
      <c r="DC42" s="165" t="str">
        <f t="shared" si="65"/>
        <v>n/a</v>
      </c>
      <c r="DD42" s="165" t="str">
        <f t="shared" si="66"/>
        <v>n/a</v>
      </c>
      <c r="DE42" s="165">
        <f t="shared" si="67"/>
        <v>0.4500000000000001</v>
      </c>
      <c r="DF42" s="165" t="str">
        <f t="shared" si="68"/>
        <v>n/a</v>
      </c>
      <c r="DG42" s="165" t="str">
        <f t="shared" si="69"/>
        <v>n/a</v>
      </c>
      <c r="DH42" s="165">
        <f t="shared" si="70"/>
        <v>0.00642857142857143</v>
      </c>
      <c r="DI42" s="167">
        <f t="shared" si="71"/>
        <v>0.00642857142857143</v>
      </c>
      <c r="DJ42" s="165" t="str">
        <f t="shared" si="72"/>
        <v>n/a</v>
      </c>
      <c r="DK42" s="165" t="str">
        <f t="shared" si="7"/>
        <v>n/a</v>
      </c>
      <c r="DL42" s="165">
        <f t="shared" si="73"/>
        <v>0.9000000000000001</v>
      </c>
      <c r="DM42" s="168">
        <f t="shared" si="74"/>
        <v>0.9000000000000001</v>
      </c>
      <c r="DN42" s="185"/>
      <c r="DO42" s="165" t="str">
        <f t="shared" si="75"/>
        <v>n/a</v>
      </c>
      <c r="DP42" s="165" t="str">
        <f t="shared" si="76"/>
        <v>n/a</v>
      </c>
      <c r="DQ42" s="165">
        <f t="shared" si="77"/>
        <v>0.27432109454671083</v>
      </c>
      <c r="DR42" s="598">
        <f>IF(SUM(DO42:DQ42)&lt;$BZ$4,"",adjustparameter($AB42,0.01,SUM(DO42,DP42,DQ42)/$AB42,$BZ$4))</f>
      </c>
      <c r="DS42" s="166">
        <f t="shared" si="78"/>
      </c>
      <c r="DT42" s="597">
        <f>IF($CK42="n/a","",IF(SUM(DO42:DQ42)&lt;$BZ$4,"",adjustparameter($AO42,0.5*$AO42,SUM(SUM(DQ42)*DR42/$AB42/$AO42),($BZ$4-SUM(DO42:DP42)*DR42/$AB42))))</f>
      </c>
      <c r="DU42" s="166">
        <f t="shared" si="8"/>
      </c>
      <c r="DV42" s="165"/>
      <c r="DW42" s="166">
        <f t="shared" si="79"/>
      </c>
      <c r="DX42" s="165"/>
      <c r="DY42" s="166">
        <f t="shared" si="80"/>
      </c>
      <c r="DZ42" s="595">
        <f t="shared" si="81"/>
      </c>
      <c r="EA42" s="165">
        <f>IF(DZ42="","",VLOOKUP(DZ42,Picklist!$C$2:$E$5,3))</f>
      </c>
      <c r="EB42" s="594">
        <f t="shared" si="82"/>
      </c>
      <c r="EC42" s="165"/>
      <c r="ED42" s="166">
        <f t="shared" si="83"/>
      </c>
      <c r="EE42" s="593" t="str">
        <f t="shared" si="84"/>
        <v>n/a</v>
      </c>
      <c r="EF42" s="594" t="str">
        <f t="shared" si="85"/>
        <v>n/a</v>
      </c>
      <c r="EG42" s="594">
        <f t="shared" si="86"/>
        <v>1.3716054727335543</v>
      </c>
      <c r="EH42" s="165" t="str">
        <f t="shared" si="87"/>
        <v>n/a</v>
      </c>
      <c r="EI42" s="165" t="str">
        <f t="shared" si="88"/>
        <v>n/a</v>
      </c>
      <c r="EJ42" s="165">
        <f t="shared" si="89"/>
        <v>0.019594363896193633</v>
      </c>
      <c r="EK42" s="167">
        <f t="shared" si="90"/>
        <v>0.019594363896193633</v>
      </c>
      <c r="EL42" s="165" t="str">
        <f t="shared" si="91"/>
        <v>n/a</v>
      </c>
      <c r="EM42" s="165" t="str">
        <f t="shared" si="9"/>
        <v>n/a</v>
      </c>
      <c r="EN42" s="165">
        <f t="shared" si="92"/>
        <v>0.27432109454671083</v>
      </c>
      <c r="EO42" s="168">
        <f t="shared" si="93"/>
        <v>0.27432109454671083</v>
      </c>
      <c r="EP42" s="185"/>
      <c r="EQ42" s="165" t="str">
        <f t="shared" si="94"/>
        <v>n/a</v>
      </c>
      <c r="ER42" s="165" t="str">
        <f t="shared" si="95"/>
        <v>n/a</v>
      </c>
      <c r="ES42" s="165">
        <f t="shared" si="96"/>
        <v>0.05486421890934217</v>
      </c>
      <c r="ET42" s="596">
        <f>IF(SUM(EQ42:ES42)&lt;$BZ$4,"",adjustparameter($AB42,0.01,SUM(EQ42,ER42,ES42)/$AB42,$BZ$4))</f>
      </c>
      <c r="EU42" s="166">
        <f t="shared" si="97"/>
      </c>
      <c r="EV42" s="597">
        <f>IF($CK42="n/a","",IF(SUM(EQ42:ES42)&lt;$BZ$4,"",adjustparameter($AO42,0.5*$AO42,SUM(SUM(ES42)*ET42/$AB42/$AO42),($BZ$4-SUM(EQ42:ER42)*ET42/$AB42))))</f>
      </c>
      <c r="EW42" s="166">
        <f t="shared" si="98"/>
      </c>
      <c r="EX42" s="165"/>
      <c r="EY42" s="166">
        <f t="shared" si="99"/>
      </c>
      <c r="EZ42" s="217"/>
      <c r="FA42" s="166">
        <f t="shared" si="100"/>
      </c>
      <c r="FB42" s="595">
        <f t="shared" si="101"/>
      </c>
      <c r="FC42" s="165">
        <f>IF(FB42="","",VLOOKUP(FB42,Picklist!$C$2:$E$5,3))</f>
      </c>
      <c r="FD42" s="594">
        <f t="shared" si="102"/>
      </c>
      <c r="FE42" s="165"/>
      <c r="FF42" s="166">
        <f t="shared" si="10"/>
      </c>
      <c r="FG42" s="593" t="str">
        <f t="shared" si="103"/>
        <v>n/a</v>
      </c>
      <c r="FH42" s="594" t="str">
        <f t="shared" si="104"/>
        <v>n/a</v>
      </c>
      <c r="FI42" s="594">
        <f t="shared" si="105"/>
        <v>1.3716054727335543</v>
      </c>
      <c r="FJ42" s="165" t="str">
        <f t="shared" si="106"/>
        <v>n/a</v>
      </c>
      <c r="FK42" s="165" t="str">
        <f t="shared" si="107"/>
        <v>n/a</v>
      </c>
      <c r="FL42" s="165">
        <f t="shared" si="108"/>
        <v>0.019594363896193633</v>
      </c>
      <c r="FM42" s="167">
        <f t="shared" si="109"/>
        <v>0.019594363896193633</v>
      </c>
      <c r="FN42" s="165" t="str">
        <f t="shared" si="110"/>
        <v>n/a</v>
      </c>
      <c r="FO42" s="165" t="str">
        <f t="shared" si="11"/>
        <v>n/a</v>
      </c>
      <c r="FP42" s="165">
        <f t="shared" si="111"/>
        <v>0.05486421890934217</v>
      </c>
      <c r="FQ42" s="168">
        <f t="shared" si="112"/>
        <v>0.05486421890934217</v>
      </c>
      <c r="FR42" s="185"/>
      <c r="FS42" s="165" t="str">
        <f t="shared" si="113"/>
        <v>n/a</v>
      </c>
      <c r="FT42" s="165" t="str">
        <f t="shared" si="114"/>
        <v>n/a</v>
      </c>
      <c r="FU42" s="165">
        <f t="shared" si="115"/>
        <v>0.013716054727335543</v>
      </c>
      <c r="FV42" s="596">
        <f>IF(SUM(FS42:FU42)&lt;$BZ$4,"",adjustparameter($AB42,0.01,SUM(FS42,FT42,FU42)/$AB42,$BZ$4))</f>
      </c>
      <c r="FW42" s="166">
        <f t="shared" si="116"/>
      </c>
      <c r="FX42" s="597">
        <f>IF($CK42="n/a","",IF(SUM(FS42:FU42)&lt;$BZ$4,"",adjustparameter($AO42,0.5*$AO42,SUM(SUM(FU42)*FV42/$AB42/$AO42),($BZ$4-SUM(FS42:FT42)*FV42/$AB42))))</f>
      </c>
      <c r="FY42" s="166">
        <f t="shared" si="117"/>
      </c>
      <c r="FZ42" s="165"/>
      <c r="GA42" s="166">
        <f t="shared" si="118"/>
      </c>
      <c r="GB42" s="165"/>
      <c r="GC42" s="166">
        <f t="shared" si="119"/>
      </c>
      <c r="GD42" s="595">
        <f t="shared" si="120"/>
      </c>
      <c r="GE42" s="165">
        <f>IF(GD42="","",VLOOKUP(GD42,Picklist!$C$2:$E$5,3))</f>
      </c>
      <c r="GF42" s="594">
        <f t="shared" si="121"/>
      </c>
      <c r="GG42" s="165"/>
      <c r="GH42" s="166">
        <f t="shared" si="12"/>
      </c>
      <c r="GI42" s="593" t="str">
        <f t="shared" si="122"/>
        <v>n/a</v>
      </c>
      <c r="GJ42" s="594" t="str">
        <f t="shared" si="123"/>
        <v>n/a</v>
      </c>
      <c r="GK42" s="594">
        <f t="shared" si="124"/>
        <v>1.3716054727335543</v>
      </c>
      <c r="GL42" s="165" t="str">
        <f t="shared" si="125"/>
        <v>n/a</v>
      </c>
      <c r="GM42" s="165" t="str">
        <f t="shared" si="126"/>
        <v>n/a</v>
      </c>
      <c r="GN42" s="165">
        <f t="shared" si="127"/>
        <v>0.019594363896193633</v>
      </c>
      <c r="GO42" s="167">
        <f t="shared" si="128"/>
        <v>0.019594363896193633</v>
      </c>
      <c r="GP42" s="165" t="str">
        <f t="shared" si="129"/>
        <v>n/a</v>
      </c>
      <c r="GQ42" s="165" t="str">
        <f t="shared" si="13"/>
        <v>n/a</v>
      </c>
      <c r="GR42" s="165">
        <f t="shared" si="130"/>
        <v>0.013716054727335543</v>
      </c>
      <c r="GS42" s="170">
        <f t="shared" si="131"/>
        <v>0.013716054727335543</v>
      </c>
    </row>
    <row r="43" spans="1:201" s="139" customFormat="1" ht="192" customHeight="1">
      <c r="A43" s="144"/>
      <c r="B43" s="145"/>
      <c r="C43" s="172" t="s">
        <v>387</v>
      </c>
      <c r="D43" s="188" t="s">
        <v>240</v>
      </c>
      <c r="E43" s="237" t="s">
        <v>448</v>
      </c>
      <c r="F43" s="179">
        <v>0.9</v>
      </c>
      <c r="G43" s="121" t="s">
        <v>388</v>
      </c>
      <c r="H43" s="121"/>
      <c r="I43" s="121" t="s">
        <v>388</v>
      </c>
      <c r="J43" s="121" t="s">
        <v>139</v>
      </c>
      <c r="K43" s="121">
        <v>1</v>
      </c>
      <c r="L43" s="121">
        <v>857.5</v>
      </c>
      <c r="M43" s="121"/>
      <c r="N43" s="121">
        <v>2000</v>
      </c>
      <c r="O43" s="121">
        <v>20</v>
      </c>
      <c r="P43" s="176">
        <v>4</v>
      </c>
      <c r="Q43" s="151">
        <f t="shared" si="14"/>
        <v>128.625</v>
      </c>
      <c r="R43" s="132" t="str">
        <f t="shared" si="15"/>
        <v>n/a</v>
      </c>
      <c r="S43" s="143">
        <f t="shared" si="16"/>
        <v>8220</v>
      </c>
      <c r="T43" s="143">
        <f t="shared" si="17"/>
        <v>90000</v>
      </c>
      <c r="U43" s="143">
        <f t="shared" si="18"/>
        <v>90000</v>
      </c>
      <c r="V43" s="152">
        <f t="shared" si="19"/>
        <v>8348.625</v>
      </c>
      <c r="W43" s="153">
        <f t="shared" si="20"/>
        <v>6.43125</v>
      </c>
      <c r="X43" s="154" t="str">
        <f t="shared" si="21"/>
        <v>n/a</v>
      </c>
      <c r="Y43" s="154" t="str">
        <f t="shared" si="22"/>
        <v>n/a</v>
      </c>
      <c r="Z43" s="154">
        <f t="shared" si="23"/>
        <v>1285.7142857142858</v>
      </c>
      <c r="AA43" s="155">
        <f t="shared" si="24"/>
        <v>1292.1455357142859</v>
      </c>
      <c r="AB43" s="94">
        <v>0.5</v>
      </c>
      <c r="AC43" s="93" t="s">
        <v>433</v>
      </c>
      <c r="AD43" s="156">
        <v>0.04</v>
      </c>
      <c r="AE43" s="134" t="s">
        <v>655</v>
      </c>
      <c r="AF43" s="92">
        <v>857.5</v>
      </c>
      <c r="AG43" s="204" t="s">
        <v>515</v>
      </c>
      <c r="AH43" s="302"/>
      <c r="AI43" s="302"/>
      <c r="AJ43" s="303"/>
      <c r="AK43" s="303"/>
      <c r="AL43" s="204"/>
      <c r="AM43" s="87"/>
      <c r="AN43" s="120"/>
      <c r="AO43" s="87">
        <v>491</v>
      </c>
      <c r="AP43" s="99" t="s">
        <v>440</v>
      </c>
      <c r="AQ43" s="314"/>
      <c r="AR43" s="99"/>
      <c r="AS43" s="118" t="s">
        <v>496</v>
      </c>
      <c r="AT43" s="120">
        <f t="shared" si="25"/>
        <v>0.6</v>
      </c>
      <c r="AU43" s="131" t="str">
        <f t="shared" si="139"/>
        <v>RIVM  general fact sheet</v>
      </c>
      <c r="AV43" s="131">
        <f t="shared" si="26"/>
        <v>0.5823381567398316</v>
      </c>
      <c r="AW43" s="156">
        <f t="shared" si="137"/>
        <v>20</v>
      </c>
      <c r="AX43" s="156" t="str">
        <f t="shared" si="138"/>
        <v>TRA default</v>
      </c>
      <c r="AY43" s="164">
        <v>2</v>
      </c>
      <c r="AZ43" s="192" t="s">
        <v>441</v>
      </c>
      <c r="BA43" s="125">
        <f t="shared" si="0"/>
        <v>71.45833333333334</v>
      </c>
      <c r="BB43" s="125">
        <f t="shared" si="1"/>
        <v>2.858333333333334</v>
      </c>
      <c r="BC43" s="120">
        <f t="shared" si="27"/>
        <v>5</v>
      </c>
      <c r="BD43" s="120" t="str">
        <f t="shared" si="2"/>
        <v>n/a</v>
      </c>
      <c r="BE43" s="120" t="str">
        <f t="shared" si="3"/>
        <v>n/a</v>
      </c>
      <c r="BF43" s="120">
        <f t="shared" si="4"/>
        <v>326.43450657848547</v>
      </c>
      <c r="BG43" s="120">
        <f t="shared" si="28"/>
        <v>7148.200873981433</v>
      </c>
      <c r="BH43" s="120">
        <f t="shared" si="29"/>
      </c>
      <c r="BI43" s="120">
        <f t="shared" si="5"/>
        <v>595.6834061651194</v>
      </c>
      <c r="BJ43" s="158">
        <f t="shared" si="30"/>
        <v>23.827336246604776</v>
      </c>
      <c r="BK43" s="159">
        <f t="shared" si="31"/>
        <v>397.8928399118188</v>
      </c>
      <c r="BL43" s="160" t="str">
        <f t="shared" si="32"/>
        <v>n/a</v>
      </c>
      <c r="BM43" s="161" t="str">
        <f t="shared" si="33"/>
        <v>n/a</v>
      </c>
      <c r="BN43" s="161">
        <f t="shared" si="34"/>
        <v>3.572916666666667</v>
      </c>
      <c r="BO43" s="162" t="str">
        <f t="shared" si="35"/>
        <v>n/a</v>
      </c>
      <c r="BP43" s="161">
        <f t="shared" si="36"/>
        <v>8.509762945215991</v>
      </c>
      <c r="BQ43" s="162">
        <f t="shared" si="37"/>
        <v>12.082679611882657</v>
      </c>
      <c r="BR43" s="161">
        <f t="shared" si="38"/>
        <v>0.1429166666666667</v>
      </c>
      <c r="BS43" s="161" t="str">
        <f t="shared" si="39"/>
        <v>n/a</v>
      </c>
      <c r="BT43" s="161">
        <f t="shared" si="40"/>
        <v>0.34039051780863966</v>
      </c>
      <c r="BU43" s="161">
        <f t="shared" si="41"/>
        <v>0.48330718447530635</v>
      </c>
      <c r="BV43" s="163" t="str">
        <f t="shared" si="42"/>
        <v>Unless otherwise stated, covers concentrations up to 50% [ConsOC1]; covers use up to 11 days/year[ConsOC3]; covers use up to 1 time/on day of use[ConsOC4]; covers skin contact area up to 857,50 cm2 [ConsOC5]; for each use event, covers use amounts up to 491g [ConsOC2]; covers use under typical household ventilation [ConsOC8]; covers use in room size of 20m3[ConsOC11]; for each use event, covers exposure up to 2,00hr/event[ConsOC14]; </v>
      </c>
      <c r="BW43" s="126" t="str">
        <f t="shared" si="43"/>
        <v>No specific RMMs identified beyond those OCs stated</v>
      </c>
      <c r="BX43" s="125" t="str">
        <f t="shared" si="44"/>
        <v>Based upon infrequent use (&lt;365 days/yr)</v>
      </c>
      <c r="BY43" s="120">
        <f t="shared" si="45"/>
        <v>0.1429166666666667</v>
      </c>
      <c r="BZ43" s="120" t="str">
        <f t="shared" si="46"/>
        <v>n/a</v>
      </c>
      <c r="CA43" s="120">
        <f t="shared" si="47"/>
        <v>0.34039051780863966</v>
      </c>
      <c r="CB43" s="164">
        <f t="shared" si="48"/>
        <v>0.48330718447530635</v>
      </c>
      <c r="CC43" s="120">
        <f t="shared" si="49"/>
        <v>5</v>
      </c>
      <c r="CD43" s="120" t="str">
        <f t="shared" si="50"/>
        <v>n/a</v>
      </c>
      <c r="CE43" s="159">
        <f t="shared" si="51"/>
        <v>23.827336246604776</v>
      </c>
      <c r="CF43" s="138"/>
      <c r="CG43" s="226" t="str">
        <f t="shared" si="135"/>
        <v>PC15_n: Non-metal surface treatment products</v>
      </c>
      <c r="CH43" s="227" t="str">
        <f t="shared" si="136"/>
        <v>Removers (paint-, glue-, wall paper-, sealant-remover)</v>
      </c>
      <c r="CI43" s="120">
        <f t="shared" si="52"/>
        <v>2.858333333333334</v>
      </c>
      <c r="CJ43" s="120" t="str">
        <f t="shared" si="53"/>
        <v>n/a</v>
      </c>
      <c r="CK43" s="120">
        <f t="shared" si="54"/>
        <v>23.827336246604776</v>
      </c>
      <c r="CL43" s="165"/>
      <c r="CM43" s="165">
        <f t="shared" si="55"/>
        <v>28.583333333333336</v>
      </c>
      <c r="CN43" s="165" t="str">
        <f t="shared" si="56"/>
        <v>n/a</v>
      </c>
      <c r="CO43" s="165">
        <f t="shared" si="57"/>
        <v>47.65467249320955</v>
      </c>
      <c r="CP43" s="598">
        <f>IF(SUM(CM43:CO43)&lt;$BZ$4,"",adjustparameter($AB43,0.01,SUM(CM43,CN43,CO43)/$AB43,$BZ$4))</f>
        <v>0.01</v>
      </c>
      <c r="CQ43" s="166">
        <f t="shared" si="58"/>
        <v>0.98</v>
      </c>
      <c r="CR43" s="599">
        <f>IF($CK43="n/a","",IF(SUM(CM43:CO43)&lt;$BZ$4,"",adjustparameter($AO43,0.5*$AO43,SUM(SUM(CO43)*CP43/$AB43/$AO43),($BZ$4-SUM(CM43:CN43)*CP43/$AB43))))</f>
        <v>245.5</v>
      </c>
      <c r="CS43" s="166">
        <f t="shared" si="59"/>
        <v>0.5</v>
      </c>
      <c r="CT43" s="165"/>
      <c r="CU43" s="166">
        <f t="shared" si="60"/>
      </c>
      <c r="CV43" s="124"/>
      <c r="CW43" s="166">
        <f t="shared" si="61"/>
      </c>
      <c r="CX43" s="595" t="str">
        <f t="shared" si="62"/>
        <v>indoor, ventilation</v>
      </c>
      <c r="CY43" s="165">
        <f>IF(CX43="","",VLOOKUP(CX43,Picklist!$C$2:$E$5,3))</f>
        <v>2.5</v>
      </c>
      <c r="CZ43" s="594">
        <f t="shared" si="63"/>
        <v>0.6588710385863761</v>
      </c>
      <c r="DA43" s="165"/>
      <c r="DB43" s="166">
        <f t="shared" si="64"/>
      </c>
      <c r="DC43" s="165">
        <f t="shared" si="65"/>
        <v>0.05716666666666673</v>
      </c>
      <c r="DD43" s="165" t="str">
        <f t="shared" si="66"/>
        <v>n/a</v>
      </c>
      <c r="DE43" s="165">
        <f t="shared" si="67"/>
        <v>0.08128194467057491</v>
      </c>
      <c r="DF43" s="165">
        <f t="shared" si="68"/>
        <v>0.0028583333333333364</v>
      </c>
      <c r="DG43" s="165" t="str">
        <f t="shared" si="69"/>
        <v>n/a</v>
      </c>
      <c r="DH43" s="165">
        <f t="shared" si="70"/>
        <v>0.0011611706381510702</v>
      </c>
      <c r="DI43" s="167">
        <f t="shared" si="71"/>
        <v>0.004019503971484407</v>
      </c>
      <c r="DJ43" s="165">
        <f t="shared" si="72"/>
        <v>0.5716666666666668</v>
      </c>
      <c r="DK43" s="165" t="str">
        <f t="shared" si="7"/>
        <v>n/a</v>
      </c>
      <c r="DL43" s="165">
        <f t="shared" si="73"/>
        <v>0.1625638893411497</v>
      </c>
      <c r="DM43" s="168">
        <f t="shared" si="74"/>
        <v>0.7342305560078165</v>
      </c>
      <c r="DN43" s="185"/>
      <c r="DO43" s="165">
        <f t="shared" si="75"/>
        <v>2.858333333333334</v>
      </c>
      <c r="DP43" s="165" t="str">
        <f t="shared" si="76"/>
        <v>n/a</v>
      </c>
      <c r="DQ43" s="165">
        <f t="shared" si="77"/>
        <v>4.765467249320955</v>
      </c>
      <c r="DR43" s="598">
        <f>IF(SUM(DO43:DQ43)&lt;$BZ$4,"",adjustparameter($AB43,0.01,SUM(DO43,DP43,DQ43)/$AB43,$BZ$4))</f>
        <v>0.059025678219317854</v>
      </c>
      <c r="DS43" s="166">
        <f t="shared" si="78"/>
        <v>0.8819486435613643</v>
      </c>
      <c r="DT43" s="597">
        <f>IF($CK43="n/a","",IF(SUM(DO43:DQ43)&lt;$BZ$4,"",adjustparameter($AO43,0.5*$AO43,SUM(SUM(DQ43)*DR43/$AB43/$AO43),($BZ$4-SUM(DO43:DP43)*DR43/$AB43))))</f>
      </c>
      <c r="DU43" s="166">
        <f t="shared" si="8"/>
      </c>
      <c r="DV43" s="165"/>
      <c r="DW43" s="166">
        <f t="shared" si="79"/>
      </c>
      <c r="DX43" s="165"/>
      <c r="DY43" s="166">
        <f t="shared" si="80"/>
      </c>
      <c r="DZ43" s="595">
        <f t="shared" si="81"/>
      </c>
      <c r="EA43" s="165">
        <f>IF(DZ43="","",VLOOKUP(DZ43,Picklist!$C$2:$E$5,3))</f>
      </c>
      <c r="EB43" s="594">
        <f t="shared" si="82"/>
      </c>
      <c r="EC43" s="165"/>
      <c r="ED43" s="166">
        <f t="shared" si="83"/>
      </c>
      <c r="EE43" s="593">
        <f t="shared" si="84"/>
        <v>0.3374301271537672</v>
      </c>
      <c r="EF43" s="594" t="str">
        <f t="shared" si="85"/>
        <v>n/a</v>
      </c>
      <c r="EG43" s="594">
        <f t="shared" si="86"/>
        <v>2.8128493642311656</v>
      </c>
      <c r="EH43" s="165">
        <f t="shared" si="87"/>
        <v>0.01687150635768836</v>
      </c>
      <c r="EI43" s="165" t="str">
        <f t="shared" si="88"/>
        <v>n/a</v>
      </c>
      <c r="EJ43" s="165">
        <f t="shared" si="89"/>
        <v>0.04018356234615951</v>
      </c>
      <c r="EK43" s="167">
        <f t="shared" si="90"/>
        <v>0.05705506870384787</v>
      </c>
      <c r="EL43" s="165">
        <f t="shared" si="91"/>
        <v>0.33743012715376713</v>
      </c>
      <c r="EM43" s="165" t="str">
        <f t="shared" si="9"/>
        <v>n/a</v>
      </c>
      <c r="EN43" s="165">
        <f t="shared" si="92"/>
        <v>0.5625698728462329</v>
      </c>
      <c r="EO43" s="168">
        <f t="shared" si="93"/>
        <v>0.9000000000000001</v>
      </c>
      <c r="EP43" s="185"/>
      <c r="EQ43" s="165">
        <f t="shared" si="94"/>
        <v>0.5716666666666668</v>
      </c>
      <c r="ER43" s="165" t="str">
        <f t="shared" si="95"/>
        <v>n/a</v>
      </c>
      <c r="ES43" s="165">
        <f t="shared" si="96"/>
        <v>0.9530934498641911</v>
      </c>
      <c r="ET43" s="596">
        <f>IF(SUM(EQ43:ES43)&lt;$BZ$4,"",adjustparameter($AB43,0.01,SUM(EQ43,ER43,ES43)/$AB43,$BZ$4))</f>
        <v>0.2951283910965892</v>
      </c>
      <c r="EU43" s="166">
        <f t="shared" si="97"/>
        <v>0.40974321780682155</v>
      </c>
      <c r="EV43" s="597">
        <f>IF($CK43="n/a","",IF(SUM(EQ43:ES43)&lt;$BZ$4,"",adjustparameter($AO43,0.5*$AO43,SUM(SUM(ES43)*ET43/$AB43/$AO43),($BZ$4-SUM(EQ43:ER43)*ET43/$AB43))))</f>
      </c>
      <c r="EW43" s="166">
        <f t="shared" si="98"/>
      </c>
      <c r="EX43" s="165"/>
      <c r="EY43" s="166">
        <f t="shared" si="99"/>
      </c>
      <c r="EZ43" s="217"/>
      <c r="FA43" s="166">
        <f t="shared" si="100"/>
      </c>
      <c r="FB43" s="595">
        <f t="shared" si="101"/>
      </c>
      <c r="FC43" s="165">
        <f>IF(FB43="","",VLOOKUP(FB43,Picklist!$C$2:$E$5,3))</f>
      </c>
      <c r="FD43" s="594">
        <f t="shared" si="102"/>
      </c>
      <c r="FE43" s="165"/>
      <c r="FF43" s="166">
        <f t="shared" si="10"/>
      </c>
      <c r="FG43" s="593">
        <f t="shared" si="103"/>
        <v>1.6871506357688353</v>
      </c>
      <c r="FH43" s="594" t="str">
        <f t="shared" si="104"/>
        <v>n/a</v>
      </c>
      <c r="FI43" s="594">
        <f t="shared" si="105"/>
        <v>14.064246821155821</v>
      </c>
      <c r="FJ43" s="165">
        <f t="shared" si="106"/>
        <v>0.08435753178844177</v>
      </c>
      <c r="FK43" s="165" t="str">
        <f t="shared" si="107"/>
        <v>n/a</v>
      </c>
      <c r="FL43" s="165">
        <f t="shared" si="108"/>
        <v>0.20091781173079745</v>
      </c>
      <c r="FM43" s="167">
        <f t="shared" si="109"/>
        <v>0.2852753435192392</v>
      </c>
      <c r="FN43" s="165">
        <f t="shared" si="110"/>
        <v>0.3374301271537671</v>
      </c>
      <c r="FO43" s="165" t="str">
        <f t="shared" si="11"/>
        <v>n/a</v>
      </c>
      <c r="FP43" s="165">
        <f t="shared" si="111"/>
        <v>0.5625698728462328</v>
      </c>
      <c r="FQ43" s="168">
        <f t="shared" si="112"/>
        <v>0.8999999999999999</v>
      </c>
      <c r="FR43" s="185"/>
      <c r="FS43" s="165">
        <f t="shared" si="113"/>
        <v>0.1429166666666667</v>
      </c>
      <c r="FT43" s="165" t="str">
        <f t="shared" si="114"/>
        <v>n/a</v>
      </c>
      <c r="FU43" s="165">
        <f t="shared" si="115"/>
        <v>0.23827336246604777</v>
      </c>
      <c r="FV43" s="596">
        <f>IF(SUM(FS43:FU43)&lt;$BZ$4,"",adjustparameter($AB43,0.01,SUM(FS43,FT43,FU43)/$AB43,$BZ$4))</f>
      </c>
      <c r="FW43" s="166">
        <f t="shared" si="116"/>
      </c>
      <c r="FX43" s="597">
        <f>IF($CK43="n/a","",IF(SUM(FS43:FU43)&lt;$BZ$4,"",adjustparameter($AO43,0.5*$AO43,SUM(SUM(FU43)*FV43/$AB43/$AO43),($BZ$4-SUM(FS43:FT43)*FV43/$AB43))))</f>
      </c>
      <c r="FY43" s="166">
        <f t="shared" si="117"/>
      </c>
      <c r="FZ43" s="165"/>
      <c r="GA43" s="166">
        <f t="shared" si="118"/>
      </c>
      <c r="GB43" s="165"/>
      <c r="GC43" s="166">
        <f t="shared" si="119"/>
      </c>
      <c r="GD43" s="595">
        <f t="shared" si="120"/>
      </c>
      <c r="GE43" s="165">
        <f>IF(GD43="","",VLOOKUP(GD43,Picklist!$C$2:$E$5,3))</f>
      </c>
      <c r="GF43" s="594">
        <f t="shared" si="121"/>
      </c>
      <c r="GG43" s="165"/>
      <c r="GH43" s="166">
        <f t="shared" si="12"/>
      </c>
      <c r="GI43" s="593">
        <f t="shared" si="122"/>
        <v>2.858333333333334</v>
      </c>
      <c r="GJ43" s="594" t="str">
        <f t="shared" si="123"/>
        <v>n/a</v>
      </c>
      <c r="GK43" s="594">
        <f t="shared" si="124"/>
        <v>23.827336246604776</v>
      </c>
      <c r="GL43" s="165">
        <f t="shared" si="125"/>
        <v>0.1429166666666667</v>
      </c>
      <c r="GM43" s="165" t="str">
        <f t="shared" si="126"/>
        <v>n/a</v>
      </c>
      <c r="GN43" s="165">
        <f t="shared" si="127"/>
        <v>0.34039051780863966</v>
      </c>
      <c r="GO43" s="167">
        <f t="shared" si="128"/>
        <v>0.48330718447530635</v>
      </c>
      <c r="GP43" s="165">
        <f t="shared" si="129"/>
        <v>0.1429166666666667</v>
      </c>
      <c r="GQ43" s="165" t="str">
        <f t="shared" si="13"/>
        <v>n/a</v>
      </c>
      <c r="GR43" s="165">
        <f t="shared" si="130"/>
        <v>0.23827336246604777</v>
      </c>
      <c r="GS43" s="170">
        <f t="shared" si="131"/>
        <v>0.3811900291327145</v>
      </c>
    </row>
    <row r="44" spans="1:201" s="139" customFormat="1" ht="112.5" customHeight="1">
      <c r="A44" s="144"/>
      <c r="B44" s="145"/>
      <c r="C44" s="172" t="s">
        <v>387</v>
      </c>
      <c r="D44" s="188" t="s">
        <v>241</v>
      </c>
      <c r="E44" s="238" t="s">
        <v>451</v>
      </c>
      <c r="F44" s="179">
        <v>0.5</v>
      </c>
      <c r="G44" s="121" t="s">
        <v>388</v>
      </c>
      <c r="H44" s="121"/>
      <c r="I44" s="121" t="s">
        <v>388</v>
      </c>
      <c r="J44" s="121" t="s">
        <v>139</v>
      </c>
      <c r="K44" s="121">
        <v>1</v>
      </c>
      <c r="L44" s="121">
        <v>857.5</v>
      </c>
      <c r="M44" s="121"/>
      <c r="N44" s="121">
        <v>5000</v>
      </c>
      <c r="O44" s="121">
        <v>20</v>
      </c>
      <c r="P44" s="176">
        <v>4</v>
      </c>
      <c r="Q44" s="151">
        <f t="shared" si="14"/>
        <v>71.45833333333334</v>
      </c>
      <c r="R44" s="132" t="str">
        <f t="shared" si="15"/>
        <v>n/a</v>
      </c>
      <c r="S44" s="143">
        <f t="shared" si="16"/>
        <v>11416.666666666668</v>
      </c>
      <c r="T44" s="143">
        <f t="shared" si="17"/>
        <v>125000</v>
      </c>
      <c r="U44" s="143">
        <f t="shared" si="18"/>
        <v>125000</v>
      </c>
      <c r="V44" s="152">
        <f t="shared" si="19"/>
        <v>11488.125000000002</v>
      </c>
      <c r="W44" s="153">
        <f t="shared" si="20"/>
        <v>3.572916666666667</v>
      </c>
      <c r="X44" s="154" t="str">
        <f t="shared" si="21"/>
        <v>n/a</v>
      </c>
      <c r="Y44" s="154" t="str">
        <f t="shared" si="22"/>
        <v>n/a</v>
      </c>
      <c r="Z44" s="154">
        <f t="shared" si="23"/>
        <v>1785.7142857142858</v>
      </c>
      <c r="AA44" s="155">
        <f t="shared" si="24"/>
        <v>1789.2872023809525</v>
      </c>
      <c r="AB44" s="92">
        <v>1</v>
      </c>
      <c r="AC44" s="88" t="s">
        <v>229</v>
      </c>
      <c r="AD44" s="156">
        <v>0.04</v>
      </c>
      <c r="AE44" s="134" t="s">
        <v>648</v>
      </c>
      <c r="AF44" s="575">
        <f>7.8*60</f>
        <v>468</v>
      </c>
      <c r="AG44" s="204" t="s">
        <v>445</v>
      </c>
      <c r="AH44" s="302"/>
      <c r="AI44" s="105"/>
      <c r="AJ44" s="304"/>
      <c r="AK44" s="304"/>
      <c r="AL44" s="204"/>
      <c r="AM44" s="87"/>
      <c r="AN44" s="193"/>
      <c r="AO44" s="87">
        <v>2200</v>
      </c>
      <c r="AP44" s="99" t="s">
        <v>231</v>
      </c>
      <c r="AQ44" s="314">
        <v>0.01</v>
      </c>
      <c r="AR44" s="99" t="s">
        <v>230</v>
      </c>
      <c r="AS44" s="118" t="s">
        <v>498</v>
      </c>
      <c r="AT44" s="120">
        <f t="shared" si="25"/>
        <v>1.5</v>
      </c>
      <c r="AU44" s="131" t="str">
        <f t="shared" si="139"/>
        <v>RIVM  general fact sheet</v>
      </c>
      <c r="AV44" s="131">
        <f t="shared" si="26"/>
        <v>0.8826804001526236</v>
      </c>
      <c r="AW44" s="156">
        <f t="shared" si="137"/>
        <v>34</v>
      </c>
      <c r="AX44" s="156" t="str">
        <f t="shared" si="138"/>
        <v>RIVM general fact sheet</v>
      </c>
      <c r="AY44" s="164">
        <v>0.17</v>
      </c>
      <c r="AZ44" s="192" t="s">
        <v>283</v>
      </c>
      <c r="BA44" s="125">
        <f t="shared" si="0"/>
        <v>78</v>
      </c>
      <c r="BB44" s="125">
        <f t="shared" si="1"/>
        <v>3.12</v>
      </c>
      <c r="BC44" s="120">
        <f t="shared" si="27"/>
        <v>10</v>
      </c>
      <c r="BD44" s="120" t="str">
        <f t="shared" si="2"/>
        <v>n/a</v>
      </c>
      <c r="BE44" s="120" t="str">
        <f t="shared" si="3"/>
        <v>n/a</v>
      </c>
      <c r="BF44" s="120">
        <f t="shared" si="4"/>
        <v>2.21699893838334</v>
      </c>
      <c r="BG44" s="120">
        <f t="shared" si="28"/>
        <v>571.1461412752271</v>
      </c>
      <c r="BH44" s="120">
        <f t="shared" si="29"/>
      </c>
      <c r="BI44" s="120">
        <f t="shared" si="5"/>
        <v>4.0456185006995256</v>
      </c>
      <c r="BJ44" s="158">
        <f t="shared" si="30"/>
        <v>0.16182474002798103</v>
      </c>
      <c r="BK44" s="159">
        <f t="shared" si="31"/>
        <v>80.21699893838334</v>
      </c>
      <c r="BL44" s="160" t="str">
        <f t="shared" si="32"/>
        <v>n/a</v>
      </c>
      <c r="BM44" s="161" t="str">
        <f t="shared" si="33"/>
        <v>n/a</v>
      </c>
      <c r="BN44" s="161">
        <f t="shared" si="34"/>
        <v>3.9</v>
      </c>
      <c r="BO44" s="162" t="str">
        <f t="shared" si="35"/>
        <v>n/a</v>
      </c>
      <c r="BP44" s="161">
        <f t="shared" si="36"/>
        <v>0.05779455000999322</v>
      </c>
      <c r="BQ44" s="162">
        <f t="shared" si="37"/>
        <v>3.957794550009993</v>
      </c>
      <c r="BR44" s="161">
        <f t="shared" si="38"/>
        <v>0.156</v>
      </c>
      <c r="BS44" s="161" t="str">
        <f t="shared" si="39"/>
        <v>n/a</v>
      </c>
      <c r="BT44" s="161">
        <f t="shared" si="40"/>
        <v>0.002311782000399729</v>
      </c>
      <c r="BU44" s="161">
        <f t="shared" si="41"/>
        <v>0.15831178200039972</v>
      </c>
      <c r="BV44" s="163" t="str">
        <f t="shared" si="42"/>
        <v>Unless otherwise stated, covers concentrations up to 100% [ConsOC1]; covers use up to 11 days/year[ConsOC3]; covers use up to 1 time/on day of use[ConsOC4]; covers skin contact area up to 468,00 cm2 [ConsOC5]; for each use event, covers use amounts up to 2200g [ConsOC2]; Covers use in a one car garage (34m3) under typcial ventilation [ConsOC10]; covers use in room size of 34m3[ConsOC11]; for each use event, covers exposure up to 0,17hr/event[ConsOC14]; </v>
      </c>
      <c r="BW44" s="126" t="str">
        <f t="shared" si="43"/>
        <v>No specific RMMs identified beyond those OCs stated</v>
      </c>
      <c r="BX44" s="125" t="str">
        <f t="shared" si="44"/>
        <v>Based upon infrequent use (&lt;365 days/yr)</v>
      </c>
      <c r="BY44" s="120">
        <f t="shared" si="45"/>
        <v>0.156</v>
      </c>
      <c r="BZ44" s="120" t="str">
        <f t="shared" si="46"/>
        <v>n/a</v>
      </c>
      <c r="CA44" s="120">
        <f t="shared" si="47"/>
        <v>0.002311782000399729</v>
      </c>
      <c r="CB44" s="164">
        <f t="shared" si="48"/>
        <v>0.15831178200039972</v>
      </c>
      <c r="CC44" s="120">
        <f t="shared" si="49"/>
        <v>10</v>
      </c>
      <c r="CD44" s="120" t="str">
        <f t="shared" si="50"/>
        <v>n/a</v>
      </c>
      <c r="CE44" s="159">
        <f t="shared" si="51"/>
        <v>0.16182474002798103</v>
      </c>
      <c r="CF44" s="138"/>
      <c r="CG44" s="226" t="str">
        <f t="shared" si="135"/>
        <v>PC16_n: Heat transfer fluids</v>
      </c>
      <c r="CH44" s="227" t="str">
        <f t="shared" si="136"/>
        <v>Liquids</v>
      </c>
      <c r="CI44" s="120">
        <f t="shared" si="52"/>
        <v>3.12</v>
      </c>
      <c r="CJ44" s="120" t="str">
        <f t="shared" si="53"/>
        <v>n/a</v>
      </c>
      <c r="CK44" s="120">
        <f t="shared" si="54"/>
        <v>0.16182474002798103</v>
      </c>
      <c r="CL44" s="165"/>
      <c r="CM44" s="165">
        <f t="shared" si="55"/>
        <v>31.2</v>
      </c>
      <c r="CN44" s="165" t="str">
        <f t="shared" si="56"/>
        <v>n/a</v>
      </c>
      <c r="CO44" s="165">
        <f t="shared" si="57"/>
        <v>0.32364948005596206</v>
      </c>
      <c r="CP44" s="598">
        <f>IF(SUM(CM44:CO44)&lt;$BZ$4,"",adjustparameter($AB44,0.01,SUM(CM44,CN44,CO44)/$AB44,$BZ$4))</f>
        <v>0.028549993888537625</v>
      </c>
      <c r="CQ44" s="166">
        <f t="shared" si="58"/>
        <v>0.9714500061114624</v>
      </c>
      <c r="CR44" s="599">
        <f>IF($CK44="n/a","",IF(SUM(CM44:CO44)&lt;$BZ$4,"",adjustparameter($AO44,0.5*$AO44,SUM(SUM(CO44)*CP44/$AB44/$AO44),($BZ$4-SUM(CM44:CN44)*CP44/$AB44))))</f>
      </c>
      <c r="CS44" s="166">
        <f t="shared" si="59"/>
      </c>
      <c r="CT44" s="165"/>
      <c r="CU44" s="166">
        <f t="shared" si="60"/>
      </c>
      <c r="CV44" s="124"/>
      <c r="CW44" s="166">
        <f t="shared" si="61"/>
      </c>
      <c r="CX44" s="595">
        <f t="shared" si="62"/>
      </c>
      <c r="CY44" s="165">
        <f>IF(CX44="","",VLOOKUP(CX44,Picklist!$C$2:$E$5,3))</f>
      </c>
      <c r="CZ44" s="594">
        <f t="shared" si="63"/>
      </c>
      <c r="DA44" s="165"/>
      <c r="DB44" s="166">
        <f t="shared" si="64"/>
      </c>
      <c r="DC44" s="165">
        <f t="shared" si="65"/>
        <v>0.0890759809322374</v>
      </c>
      <c r="DD44" s="165" t="str">
        <f t="shared" si="66"/>
        <v>n/a</v>
      </c>
      <c r="DE44" s="165">
        <f t="shared" si="67"/>
        <v>0.004620095338813049</v>
      </c>
      <c r="DF44" s="165">
        <f t="shared" si="68"/>
        <v>0.00445379904661187</v>
      </c>
      <c r="DG44" s="165" t="str">
        <f t="shared" si="69"/>
        <v>n/a</v>
      </c>
      <c r="DH44" s="165">
        <f t="shared" si="70"/>
        <v>6.600136198304356E-05</v>
      </c>
      <c r="DI44" s="167">
        <f t="shared" si="71"/>
        <v>0.004519800408594914</v>
      </c>
      <c r="DJ44" s="165">
        <f t="shared" si="72"/>
        <v>0.8907598093223739</v>
      </c>
      <c r="DK44" s="165" t="str">
        <f t="shared" si="7"/>
        <v>n/a</v>
      </c>
      <c r="DL44" s="165">
        <f t="shared" si="73"/>
        <v>0.009240190677626096</v>
      </c>
      <c r="DM44" s="168">
        <f t="shared" si="74"/>
        <v>0.8999999999999999</v>
      </c>
      <c r="DN44" s="185"/>
      <c r="DO44" s="165">
        <f t="shared" si="75"/>
        <v>3.12</v>
      </c>
      <c r="DP44" s="165" t="str">
        <f t="shared" si="76"/>
        <v>n/a</v>
      </c>
      <c r="DQ44" s="165">
        <f t="shared" si="77"/>
        <v>0.03236494800559621</v>
      </c>
      <c r="DR44" s="598">
        <f>IF(SUM(DO44:DQ44)&lt;$BZ$4,"",adjustparameter($AB44,0.01,SUM(DO44,DP44,DQ44)/$AB44,$BZ$4))</f>
        <v>0.2854999388853763</v>
      </c>
      <c r="DS44" s="166">
        <f t="shared" si="78"/>
        <v>0.7145000611146237</v>
      </c>
      <c r="DT44" s="597">
        <f>IF($CK44="n/a","",IF(SUM(DO44:DQ44)&lt;$BZ$4,"",adjustparameter($AO44,0.5*$AO44,SUM(SUM(DQ44)*DR44/$AB44/$AO44),($BZ$4-SUM(DO44:DP44)*DR44/$AB44))))</f>
        <v>2199.999999999988</v>
      </c>
      <c r="DU44" s="166">
        <f t="shared" si="8"/>
        <v>5.374286874112758E-15</v>
      </c>
      <c r="DV44" s="165"/>
      <c r="DW44" s="166">
        <f t="shared" si="79"/>
      </c>
      <c r="DX44" s="165"/>
      <c r="DY44" s="166">
        <f t="shared" si="80"/>
      </c>
      <c r="DZ44" s="595">
        <f t="shared" si="81"/>
      </c>
      <c r="EA44" s="165">
        <f>IF(DZ44="","",VLOOKUP(DZ44,Picklist!$C$2:$E$5,3))</f>
      </c>
      <c r="EB44" s="594">
        <f t="shared" si="82"/>
      </c>
      <c r="EC44" s="165"/>
      <c r="ED44" s="166">
        <f t="shared" si="83"/>
      </c>
      <c r="EE44" s="593">
        <f t="shared" si="84"/>
        <v>0.890759809322374</v>
      </c>
      <c r="EF44" s="594" t="str">
        <f t="shared" si="85"/>
        <v>n/a</v>
      </c>
      <c r="EG44" s="594">
        <f t="shared" si="86"/>
        <v>0.046200953388130246</v>
      </c>
      <c r="EH44" s="165">
        <f t="shared" si="87"/>
        <v>0.0445379904661187</v>
      </c>
      <c r="EI44" s="165" t="str">
        <f t="shared" si="88"/>
        <v>n/a</v>
      </c>
      <c r="EJ44" s="165">
        <f t="shared" si="89"/>
        <v>0.0006600136198304321</v>
      </c>
      <c r="EK44" s="167">
        <f t="shared" si="90"/>
        <v>0.04519800408594913</v>
      </c>
      <c r="EL44" s="165">
        <f t="shared" si="91"/>
        <v>0.890759809322374</v>
      </c>
      <c r="EM44" s="165" t="str">
        <f t="shared" si="9"/>
        <v>n/a</v>
      </c>
      <c r="EN44" s="165">
        <f t="shared" si="92"/>
        <v>0.00924019067762605</v>
      </c>
      <c r="EO44" s="168">
        <f t="shared" si="93"/>
        <v>0.9</v>
      </c>
      <c r="EP44" s="185"/>
      <c r="EQ44" s="165">
        <f t="shared" si="94"/>
        <v>0.624</v>
      </c>
      <c r="ER44" s="165" t="str">
        <f t="shared" si="95"/>
        <v>n/a</v>
      </c>
      <c r="ES44" s="165">
        <f t="shared" si="96"/>
        <v>0.006472989601119241</v>
      </c>
      <c r="ET44" s="596">
        <f>IF(SUM(EQ44:ES44)&lt;$BZ$4,"",adjustparameter($AB44,0.01,SUM(EQ44,ER44,ES44)/$AB44,$BZ$4))</f>
      </c>
      <c r="EU44" s="166">
        <f t="shared" si="97"/>
      </c>
      <c r="EV44" s="597">
        <f>IF($CK44="n/a","",IF(SUM(EQ44:ES44)&lt;$BZ$4,"",adjustparameter($AO44,0.5*$AO44,SUM(SUM(ES44)*ET44/$AB44/$AO44),($BZ$4-SUM(EQ44:ER44)*ET44/$AB44))))</f>
      </c>
      <c r="EW44" s="166">
        <f t="shared" si="98"/>
      </c>
      <c r="EX44" s="165"/>
      <c r="EY44" s="166">
        <f t="shared" si="99"/>
      </c>
      <c r="EZ44" s="217"/>
      <c r="FA44" s="166">
        <f t="shared" si="100"/>
      </c>
      <c r="FB44" s="595">
        <f t="shared" si="101"/>
      </c>
      <c r="FC44" s="165">
        <f>IF(FB44="","",VLOOKUP(FB44,Picklist!$C$2:$E$5,3))</f>
      </c>
      <c r="FD44" s="594">
        <f t="shared" si="102"/>
      </c>
      <c r="FE44" s="165"/>
      <c r="FF44" s="166">
        <f t="shared" si="10"/>
      </c>
      <c r="FG44" s="593">
        <f t="shared" si="103"/>
        <v>3.12</v>
      </c>
      <c r="FH44" s="594" t="str">
        <f t="shared" si="104"/>
        <v>n/a</v>
      </c>
      <c r="FI44" s="594">
        <f t="shared" si="105"/>
        <v>0.16182474002798103</v>
      </c>
      <c r="FJ44" s="165">
        <f t="shared" si="106"/>
        <v>0.156</v>
      </c>
      <c r="FK44" s="165" t="str">
        <f t="shared" si="107"/>
        <v>n/a</v>
      </c>
      <c r="FL44" s="165">
        <f t="shared" si="108"/>
        <v>0.002311782000399729</v>
      </c>
      <c r="FM44" s="167">
        <f t="shared" si="109"/>
        <v>0.15831178200039972</v>
      </c>
      <c r="FN44" s="165">
        <f t="shared" si="110"/>
        <v>0.624</v>
      </c>
      <c r="FO44" s="165" t="str">
        <f t="shared" si="11"/>
        <v>n/a</v>
      </c>
      <c r="FP44" s="165">
        <f t="shared" si="111"/>
        <v>0.006472989601119241</v>
      </c>
      <c r="FQ44" s="168">
        <f t="shared" si="112"/>
        <v>0.6304729896011192</v>
      </c>
      <c r="FR44" s="185"/>
      <c r="FS44" s="165">
        <f t="shared" si="113"/>
        <v>0.156</v>
      </c>
      <c r="FT44" s="165" t="str">
        <f t="shared" si="114"/>
        <v>n/a</v>
      </c>
      <c r="FU44" s="165">
        <f t="shared" si="115"/>
        <v>0.0016182474002798103</v>
      </c>
      <c r="FV44" s="596">
        <f>IF(SUM(FS44:FU44)&lt;$BZ$4,"",adjustparameter($AB44,0.01,SUM(FS44,FT44,FU44)/$AB44,$BZ$4))</f>
      </c>
      <c r="FW44" s="166">
        <f t="shared" si="116"/>
      </c>
      <c r="FX44" s="597">
        <f>IF($CK44="n/a","",IF(SUM(FS44:FU44)&lt;$BZ$4,"",adjustparameter($AO44,0.5*$AO44,SUM(SUM(FU44)*FV44/$AB44/$AO44),($BZ$4-SUM(FS44:FT44)*FV44/$AB44))))</f>
      </c>
      <c r="FY44" s="166">
        <f t="shared" si="117"/>
      </c>
      <c r="FZ44" s="165"/>
      <c r="GA44" s="166">
        <f t="shared" si="118"/>
      </c>
      <c r="GB44" s="165"/>
      <c r="GC44" s="166">
        <f t="shared" si="119"/>
      </c>
      <c r="GD44" s="595">
        <f t="shared" si="120"/>
      </c>
      <c r="GE44" s="165">
        <f>IF(GD44="","",VLOOKUP(GD44,Picklist!$C$2:$E$5,3))</f>
      </c>
      <c r="GF44" s="594">
        <f t="shared" si="121"/>
      </c>
      <c r="GG44" s="165"/>
      <c r="GH44" s="166">
        <f t="shared" si="12"/>
      </c>
      <c r="GI44" s="593">
        <f t="shared" si="122"/>
        <v>3.12</v>
      </c>
      <c r="GJ44" s="594" t="str">
        <f t="shared" si="123"/>
        <v>n/a</v>
      </c>
      <c r="GK44" s="594">
        <f t="shared" si="124"/>
        <v>0.16182474002798103</v>
      </c>
      <c r="GL44" s="165">
        <f t="shared" si="125"/>
        <v>0.156</v>
      </c>
      <c r="GM44" s="165" t="str">
        <f t="shared" si="126"/>
        <v>n/a</v>
      </c>
      <c r="GN44" s="165">
        <f t="shared" si="127"/>
        <v>0.002311782000399729</v>
      </c>
      <c r="GO44" s="167">
        <f t="shared" si="128"/>
        <v>0.15831178200039972</v>
      </c>
      <c r="GP44" s="165">
        <f t="shared" si="129"/>
        <v>0.156</v>
      </c>
      <c r="GQ44" s="165" t="str">
        <f t="shared" si="13"/>
        <v>n/a</v>
      </c>
      <c r="GR44" s="165">
        <f t="shared" si="130"/>
        <v>0.0016182474002798103</v>
      </c>
      <c r="GS44" s="170">
        <f t="shared" si="131"/>
        <v>0.1576182474002798</v>
      </c>
    </row>
    <row r="45" spans="1:201" s="139" customFormat="1" ht="112.5" customHeight="1">
      <c r="A45" s="144"/>
      <c r="B45" s="145"/>
      <c r="C45" s="172" t="s">
        <v>387</v>
      </c>
      <c r="D45" s="188" t="s">
        <v>242</v>
      </c>
      <c r="E45" s="238" t="s">
        <v>451</v>
      </c>
      <c r="F45" s="179">
        <v>0.5</v>
      </c>
      <c r="G45" s="121" t="s">
        <v>388</v>
      </c>
      <c r="H45" s="121"/>
      <c r="I45" s="121" t="s">
        <v>388</v>
      </c>
      <c r="J45" s="121" t="s">
        <v>139</v>
      </c>
      <c r="K45" s="121">
        <v>1</v>
      </c>
      <c r="L45" s="121">
        <v>857.5</v>
      </c>
      <c r="M45" s="121"/>
      <c r="N45" s="121">
        <v>5000</v>
      </c>
      <c r="O45" s="121">
        <v>20</v>
      </c>
      <c r="P45" s="176">
        <v>4</v>
      </c>
      <c r="Q45" s="151">
        <f t="shared" si="14"/>
        <v>71.45833333333334</v>
      </c>
      <c r="R45" s="132" t="str">
        <f t="shared" si="15"/>
        <v>n/a</v>
      </c>
      <c r="S45" s="143">
        <f t="shared" si="16"/>
        <v>11416.666666666668</v>
      </c>
      <c r="T45" s="143">
        <f t="shared" si="17"/>
        <v>125000</v>
      </c>
      <c r="U45" s="143">
        <f t="shared" si="18"/>
        <v>125000</v>
      </c>
      <c r="V45" s="152">
        <f t="shared" si="19"/>
        <v>11488.125000000002</v>
      </c>
      <c r="W45" s="153">
        <f t="shared" si="20"/>
        <v>3.572916666666667</v>
      </c>
      <c r="X45" s="154" t="str">
        <f t="shared" si="21"/>
        <v>n/a</v>
      </c>
      <c r="Y45" s="154" t="str">
        <f t="shared" si="22"/>
        <v>n/a</v>
      </c>
      <c r="Z45" s="154">
        <f t="shared" si="23"/>
        <v>1785.7142857142858</v>
      </c>
      <c r="AA45" s="155">
        <f t="shared" si="24"/>
        <v>1789.2872023809525</v>
      </c>
      <c r="AB45" s="92">
        <v>1</v>
      </c>
      <c r="AC45" s="88" t="s">
        <v>229</v>
      </c>
      <c r="AD45" s="156">
        <v>0.04</v>
      </c>
      <c r="AE45" s="134" t="s">
        <v>648</v>
      </c>
      <c r="AF45" s="575">
        <f>7.8*60</f>
        <v>468</v>
      </c>
      <c r="AG45" s="204" t="s">
        <v>445</v>
      </c>
      <c r="AH45" s="302"/>
      <c r="AI45" s="105"/>
      <c r="AJ45" s="304"/>
      <c r="AK45" s="304"/>
      <c r="AL45" s="204"/>
      <c r="AM45" s="87"/>
      <c r="AN45" s="193"/>
      <c r="AO45" s="87">
        <v>2200</v>
      </c>
      <c r="AP45" s="99" t="s">
        <v>231</v>
      </c>
      <c r="AQ45" s="314">
        <v>0.01</v>
      </c>
      <c r="AR45" s="99" t="s">
        <v>230</v>
      </c>
      <c r="AS45" s="118" t="s">
        <v>498</v>
      </c>
      <c r="AT45" s="120">
        <f t="shared" si="25"/>
        <v>1.5</v>
      </c>
      <c r="AU45" s="131" t="str">
        <f t="shared" si="139"/>
        <v>RIVM  general fact sheet</v>
      </c>
      <c r="AV45" s="131">
        <f aca="true" t="shared" si="140" ref="AV45:AV61">IF(P45="","",(1-EXP(-AT45*IF(AY45="",P45,AY45)))/(AT45*IF(AY45="",P45,AY45)))</f>
        <v>0.8826804001526236</v>
      </c>
      <c r="AW45" s="156">
        <f t="shared" si="137"/>
        <v>34</v>
      </c>
      <c r="AX45" s="156" t="str">
        <f t="shared" si="138"/>
        <v>RIVM general fact sheet</v>
      </c>
      <c r="AY45" s="164">
        <v>0.17</v>
      </c>
      <c r="AZ45" s="192" t="s">
        <v>283</v>
      </c>
      <c r="BA45" s="125">
        <f aca="true" t="shared" si="141" ref="BA45:BA61">IF(Q45="n/a","n/a",Q45*(IF(AL45="",1,AL45))*(AB45/IF(OR(F45=0,F45=""),1,F45))*(AF45/IF(OR(L45=0,L45=""),1,L45))*(IF(AD45&lt;1,K45,AD45)/IF(OR(K45=0,K45=""),1,K45))*IF(AH45="",1,AH45)*IF(AJ45="",1,AJ45))</f>
        <v>78</v>
      </c>
      <c r="BB45" s="125">
        <f aca="true" t="shared" si="142" ref="BB45:BB61">IF(Q45="n/a","n/a",Q45*(IF(AL45="",1,AL45))*(AB45/IF(OR(F45=0,F45=""),1,F45))*(AF45/IF(OR(L45=0,L45=""),1,L45))*(AD45/IF(OR(K45=0,K45=""),1,K45))*IF(AH45="",1,AH45)*IF(AJ45="",1,AJ45))</f>
        <v>3.12</v>
      </c>
      <c r="BC45" s="120">
        <f aca="true" t="shared" si="143" ref="BC45:BC61">IF(G45="","n/a",$U$4*IF(OR(E45="Air care, continuous action (solid and liquid)",E45="Air care, continuous action (solid and liquid)-pesticidal- excipient only"),0.001,IF(D45="PC37_n: Water treatment chemicals",0.1,$S$4))*AB45*(IF(AL45="",1,AL45))*1000*IF(AH45="",1,AH45)*IF(AJ45="",1,AJ45))</f>
        <v>10</v>
      </c>
      <c r="BD45" s="120" t="str">
        <f aca="true" t="shared" si="144" ref="BD45:BD61">(IF(R45="n/a","n/a",R45*(AB45/(IF(OR(F45=0,F45=""),1,F45)))*(AM45/(IF(OR(M45=0,M45=""),1,M45)))*(IF(AD45&lt;1,K45,AD45)/(IF(OR(K45=0,K45=""),1,K45)))))</f>
        <v>n/a</v>
      </c>
      <c r="BE45" s="120" t="str">
        <f aca="true" t="shared" si="145" ref="BE45:BE61">IF(R45="n/a","n/a",R45*(AB45/(IF(OR(F45=0,F45=""),1,F45)))*(AM45/(IF(OR(M45=0,M45=""),1,M45)))*(AD45/(IF(OR(K45=0,K45=""),1,K45))))</f>
        <v>n/a</v>
      </c>
      <c r="BF45" s="120">
        <f aca="true" t="shared" si="146" ref="BF45:BF61">IF(S45="n/a","n/a",S45*(AB45/IF(OR(F45=0,F45=""),1,F45))*(AO45/(IF(OR(N45=0,N45=""),1,N45)))*(AY45/(IF(OR(P45=0,P45=""),1,P45)))*(IF(AD45&lt;1,K45,AD45)/(IF(OR(K45=0,K45=""),1,K45)))*(O45/(IF(OR(AW45=0,AW45=""),1,AW45)))*AV45*IF(AQ45="",1,AQ45))</f>
        <v>2.21699893838334</v>
      </c>
      <c r="BG45" s="120">
        <f t="shared" si="28"/>
        <v>571.1461412752271</v>
      </c>
      <c r="BH45" s="120">
        <f t="shared" si="29"/>
      </c>
      <c r="BI45" s="120">
        <f aca="true" t="shared" si="147" ref="BI45:BI61">IF(BG45="n/a","n/a",(BG45*AY45*IF(AD45&lt;1,K45,AD45)/24))</f>
        <v>4.0456185006995256</v>
      </c>
      <c r="BJ45" s="158">
        <f t="shared" si="30"/>
        <v>0.16182474002798103</v>
      </c>
      <c r="BK45" s="159">
        <f t="shared" si="31"/>
        <v>80.21699893838334</v>
      </c>
      <c r="BL45" s="160" t="str">
        <f t="shared" si="32"/>
        <v>n/a</v>
      </c>
      <c r="BM45" s="161" t="str">
        <f t="shared" si="33"/>
        <v>n/a</v>
      </c>
      <c r="BN45" s="161">
        <f t="shared" si="34"/>
        <v>3.9</v>
      </c>
      <c r="BO45" s="162" t="str">
        <f t="shared" si="35"/>
        <v>n/a</v>
      </c>
      <c r="BP45" s="161">
        <f t="shared" si="36"/>
        <v>0.05779455000999322</v>
      </c>
      <c r="BQ45" s="162">
        <f t="shared" si="37"/>
        <v>3.957794550009993</v>
      </c>
      <c r="BR45" s="161">
        <f t="shared" si="38"/>
        <v>0.156</v>
      </c>
      <c r="BS45" s="161" t="str">
        <f t="shared" si="39"/>
        <v>n/a</v>
      </c>
      <c r="BT45" s="161">
        <f t="shared" si="40"/>
        <v>0.002311782000399729</v>
      </c>
      <c r="BU45" s="161">
        <f t="shared" si="41"/>
        <v>0.15831178200039972</v>
      </c>
      <c r="BV45" s="163" t="str">
        <f t="shared" si="42"/>
        <v>Unless otherwise stated, covers concentrations up to 100% [ConsOC1]; covers use up to 11 days/year[ConsOC3]; covers use up to 1 time/on day of use[ConsOC4]; covers skin contact area up to 468,00 cm2 [ConsOC5]; for each use event, covers use amounts up to 2200g [ConsOC2]; Covers use in a one car garage (34m3) under typcial ventilation [ConsOC10]; covers use in room size of 34m3[ConsOC11]; for each use event, covers exposure up to 0,17hr/event[ConsOC14]; </v>
      </c>
      <c r="BW45" s="126" t="str">
        <f t="shared" si="43"/>
        <v>No specific RMMs identified beyond those OCs stated</v>
      </c>
      <c r="BX45" s="125" t="str">
        <f t="shared" si="44"/>
        <v>Based upon infrequent use (&lt;365 days/yr)</v>
      </c>
      <c r="BY45" s="120">
        <f t="shared" si="45"/>
        <v>0.156</v>
      </c>
      <c r="BZ45" s="120" t="str">
        <f t="shared" si="46"/>
        <v>n/a</v>
      </c>
      <c r="CA45" s="120">
        <f t="shared" si="47"/>
        <v>0.002311782000399729</v>
      </c>
      <c r="CB45" s="164">
        <f t="shared" si="48"/>
        <v>0.15831178200039972</v>
      </c>
      <c r="CC45" s="120">
        <f t="shared" si="49"/>
        <v>10</v>
      </c>
      <c r="CD45" s="120" t="str">
        <f t="shared" si="50"/>
        <v>n/a</v>
      </c>
      <c r="CE45" s="159">
        <f t="shared" si="51"/>
        <v>0.16182474002798103</v>
      </c>
      <c r="CF45" s="138"/>
      <c r="CG45" s="226" t="str">
        <f t="shared" si="135"/>
        <v>PC17_n: Hydraulic fluids</v>
      </c>
      <c r="CH45" s="227" t="str">
        <f t="shared" si="136"/>
        <v>Liquids</v>
      </c>
      <c r="CI45" s="120">
        <f t="shared" si="52"/>
        <v>3.12</v>
      </c>
      <c r="CJ45" s="120" t="str">
        <f t="shared" si="53"/>
        <v>n/a</v>
      </c>
      <c r="CK45" s="120">
        <f t="shared" si="54"/>
        <v>0.16182474002798103</v>
      </c>
      <c r="CL45" s="165"/>
      <c r="CM45" s="165">
        <f t="shared" si="55"/>
        <v>31.2</v>
      </c>
      <c r="CN45" s="165" t="str">
        <f t="shared" si="56"/>
        <v>n/a</v>
      </c>
      <c r="CO45" s="165">
        <f t="shared" si="57"/>
        <v>0.32364948005596206</v>
      </c>
      <c r="CP45" s="598">
        <f>IF(SUM(CM45:CO45)&lt;$BZ$4,"",adjustparameter($AB45,0.01,SUM(CM45,CN45,CO45)/$AB45,$BZ$4))</f>
        <v>0.028549993888537625</v>
      </c>
      <c r="CQ45" s="166">
        <f t="shared" si="58"/>
        <v>0.9714500061114624</v>
      </c>
      <c r="CR45" s="599">
        <f>IF($CK45="n/a","",IF(SUM(CM45:CO45)&lt;$BZ$4,"",adjustparameter($AO45,0.5*$AO45,SUM(SUM(CO45)*CP45/$AB45/$AO45),($BZ$4-SUM(CM45:CN45)*CP45/$AB45))))</f>
      </c>
      <c r="CS45" s="166">
        <f t="shared" si="59"/>
      </c>
      <c r="CT45" s="165"/>
      <c r="CU45" s="166">
        <f t="shared" si="60"/>
      </c>
      <c r="CV45" s="124"/>
      <c r="CW45" s="166">
        <f t="shared" si="61"/>
      </c>
      <c r="CX45" s="595">
        <f t="shared" si="62"/>
      </c>
      <c r="CY45" s="165">
        <f>IF(CX45="","",VLOOKUP(CX45,Picklist!$C$2:$E$5,3))</f>
      </c>
      <c r="CZ45" s="594">
        <f t="shared" si="63"/>
      </c>
      <c r="DA45" s="165"/>
      <c r="DB45" s="166">
        <f t="shared" si="64"/>
      </c>
      <c r="DC45" s="165">
        <f t="shared" si="65"/>
        <v>0.0890759809322374</v>
      </c>
      <c r="DD45" s="165" t="str">
        <f t="shared" si="66"/>
        <v>n/a</v>
      </c>
      <c r="DE45" s="165">
        <f t="shared" si="67"/>
        <v>0.004620095338813049</v>
      </c>
      <c r="DF45" s="165">
        <f t="shared" si="68"/>
        <v>0.00445379904661187</v>
      </c>
      <c r="DG45" s="165" t="str">
        <f t="shared" si="69"/>
        <v>n/a</v>
      </c>
      <c r="DH45" s="165">
        <f t="shared" si="70"/>
        <v>6.600136198304356E-05</v>
      </c>
      <c r="DI45" s="167">
        <f t="shared" si="71"/>
        <v>0.004519800408594914</v>
      </c>
      <c r="DJ45" s="165">
        <f t="shared" si="72"/>
        <v>0.8907598093223739</v>
      </c>
      <c r="DK45" s="165" t="str">
        <f aca="true" t="shared" si="148" ref="DK45:DK61">IF(CN45="n/a","n/a",CN45*(IF(CP45="",1,CP45/$AB45))*IF(OR(CV45="",$AM45=""),1,(CV45/$AM45)))</f>
        <v>n/a</v>
      </c>
      <c r="DL45" s="165">
        <f t="shared" si="73"/>
        <v>0.009240190677626096</v>
      </c>
      <c r="DM45" s="168">
        <f t="shared" si="74"/>
        <v>0.8999999999999999</v>
      </c>
      <c r="DN45" s="185"/>
      <c r="DO45" s="165">
        <f t="shared" si="75"/>
        <v>3.12</v>
      </c>
      <c r="DP45" s="165" t="str">
        <f t="shared" si="76"/>
        <v>n/a</v>
      </c>
      <c r="DQ45" s="165">
        <f t="shared" si="77"/>
        <v>0.03236494800559621</v>
      </c>
      <c r="DR45" s="598">
        <f>IF(SUM(DO45:DQ45)&lt;$BZ$4,"",adjustparameter($AB45,0.01,SUM(DO45,DP45,DQ45)/$AB45,$BZ$4))</f>
        <v>0.2854999388853763</v>
      </c>
      <c r="DS45" s="166">
        <f t="shared" si="78"/>
        <v>0.7145000611146237</v>
      </c>
      <c r="DT45" s="597">
        <f>IF($CK45="n/a","",IF(SUM(DO45:DQ45)&lt;$BZ$4,"",adjustparameter($AO45,0.5*$AO45,SUM(SUM(DQ45)*DR45/$AB45/$AO45),($BZ$4-SUM(DO45:DP45)*DR45/$AB45))))</f>
        <v>2199.999999999988</v>
      </c>
      <c r="DU45" s="166">
        <f t="shared" si="8"/>
        <v>5.374286874112758E-15</v>
      </c>
      <c r="DV45" s="165"/>
      <c r="DW45" s="166">
        <f t="shared" si="79"/>
      </c>
      <c r="DX45" s="165"/>
      <c r="DY45" s="166">
        <f t="shared" si="80"/>
      </c>
      <c r="DZ45" s="595">
        <f t="shared" si="81"/>
      </c>
      <c r="EA45" s="165">
        <f>IF(DZ45="","",VLOOKUP(DZ45,Picklist!$C$2:$E$5,3))</f>
      </c>
      <c r="EB45" s="594">
        <f t="shared" si="82"/>
      </c>
      <c r="EC45" s="165"/>
      <c r="ED45" s="166">
        <f t="shared" si="83"/>
      </c>
      <c r="EE45" s="593">
        <f t="shared" si="84"/>
        <v>0.890759809322374</v>
      </c>
      <c r="EF45" s="594" t="str">
        <f t="shared" si="85"/>
        <v>n/a</v>
      </c>
      <c r="EG45" s="594">
        <f t="shared" si="86"/>
        <v>0.046200953388130246</v>
      </c>
      <c r="EH45" s="165">
        <f t="shared" si="87"/>
        <v>0.0445379904661187</v>
      </c>
      <c r="EI45" s="165" t="str">
        <f t="shared" si="88"/>
        <v>n/a</v>
      </c>
      <c r="EJ45" s="165">
        <f t="shared" si="89"/>
        <v>0.0006600136198304321</v>
      </c>
      <c r="EK45" s="167">
        <f t="shared" si="90"/>
        <v>0.04519800408594913</v>
      </c>
      <c r="EL45" s="165">
        <f t="shared" si="91"/>
        <v>0.890759809322374</v>
      </c>
      <c r="EM45" s="165" t="str">
        <f aca="true" t="shared" si="149" ref="EM45:EM61">IF(DP45="n/a","n/a",DP45*(IF(DR45="",1,DR45/$AB45))*IF(OR(DX45="",$AM45=""),1,(DX45/$AM45)))</f>
        <v>n/a</v>
      </c>
      <c r="EN45" s="165">
        <f t="shared" si="92"/>
        <v>0.00924019067762605</v>
      </c>
      <c r="EO45" s="168">
        <f t="shared" si="93"/>
        <v>0.9</v>
      </c>
      <c r="EP45" s="185"/>
      <c r="EQ45" s="165">
        <f t="shared" si="94"/>
        <v>0.624</v>
      </c>
      <c r="ER45" s="165" t="str">
        <f t="shared" si="95"/>
        <v>n/a</v>
      </c>
      <c r="ES45" s="165">
        <f t="shared" si="96"/>
        <v>0.006472989601119241</v>
      </c>
      <c r="ET45" s="596">
        <f>IF(SUM(EQ45:ES45)&lt;$BZ$4,"",adjustparameter($AB45,0.01,SUM(EQ45,ER45,ES45)/$AB45,$BZ$4))</f>
      </c>
      <c r="EU45" s="166">
        <f t="shared" si="97"/>
      </c>
      <c r="EV45" s="597">
        <f>IF($CK45="n/a","",IF(SUM(EQ45:ES45)&lt;$BZ$4,"",adjustparameter($AO45,0.5*$AO45,SUM(SUM(ES45)*ET45/$AB45/$AO45),($BZ$4-SUM(EQ45:ER45)*ET45/$AB45))))</f>
      </c>
      <c r="EW45" s="166">
        <f t="shared" si="98"/>
      </c>
      <c r="EX45" s="165"/>
      <c r="EY45" s="166">
        <f t="shared" si="99"/>
      </c>
      <c r="EZ45" s="217"/>
      <c r="FA45" s="166">
        <f t="shared" si="100"/>
      </c>
      <c r="FB45" s="595">
        <f t="shared" si="101"/>
      </c>
      <c r="FC45" s="165">
        <f>IF(FB45="","",VLOOKUP(FB45,Picklist!$C$2:$E$5,3))</f>
      </c>
      <c r="FD45" s="594">
        <f t="shared" si="102"/>
      </c>
      <c r="FE45" s="165"/>
      <c r="FF45" s="166">
        <f t="shared" si="10"/>
      </c>
      <c r="FG45" s="593">
        <f t="shared" si="103"/>
        <v>3.12</v>
      </c>
      <c r="FH45" s="594" t="str">
        <f t="shared" si="104"/>
        <v>n/a</v>
      </c>
      <c r="FI45" s="594">
        <f t="shared" si="105"/>
        <v>0.16182474002798103</v>
      </c>
      <c r="FJ45" s="165">
        <f t="shared" si="106"/>
        <v>0.156</v>
      </c>
      <c r="FK45" s="165" t="str">
        <f t="shared" si="107"/>
        <v>n/a</v>
      </c>
      <c r="FL45" s="165">
        <f t="shared" si="108"/>
        <v>0.002311782000399729</v>
      </c>
      <c r="FM45" s="167">
        <f t="shared" si="109"/>
        <v>0.15831178200039972</v>
      </c>
      <c r="FN45" s="165">
        <f t="shared" si="110"/>
        <v>0.624</v>
      </c>
      <c r="FO45" s="165" t="str">
        <f aca="true" t="shared" si="150" ref="FO45:FO61">IF(ER45="n/a","n/a",ER45*(IF(ET45="",1,ET45/$AB45))*IF(OR(EZ45="",$AM45=""),1,(EZ45/$AM45)))</f>
        <v>n/a</v>
      </c>
      <c r="FP45" s="165">
        <f t="shared" si="111"/>
        <v>0.006472989601119241</v>
      </c>
      <c r="FQ45" s="168">
        <f t="shared" si="112"/>
        <v>0.6304729896011192</v>
      </c>
      <c r="FR45" s="185"/>
      <c r="FS45" s="165">
        <f t="shared" si="113"/>
        <v>0.156</v>
      </c>
      <c r="FT45" s="165" t="str">
        <f t="shared" si="114"/>
        <v>n/a</v>
      </c>
      <c r="FU45" s="165">
        <f t="shared" si="115"/>
        <v>0.0016182474002798103</v>
      </c>
      <c r="FV45" s="596">
        <f>IF(SUM(FS45:FU45)&lt;$BZ$4,"",adjustparameter($AB45,0.01,SUM(FS45,FT45,FU45)/$AB45,$BZ$4))</f>
      </c>
      <c r="FW45" s="166">
        <f t="shared" si="116"/>
      </c>
      <c r="FX45" s="597">
        <f>IF($CK45="n/a","",IF(SUM(FS45:FU45)&lt;$BZ$4,"",adjustparameter($AO45,0.5*$AO45,SUM(SUM(FU45)*FV45/$AB45/$AO45),($BZ$4-SUM(FS45:FT45)*FV45/$AB45))))</f>
      </c>
      <c r="FY45" s="166">
        <f t="shared" si="117"/>
      </c>
      <c r="FZ45" s="165"/>
      <c r="GA45" s="166">
        <f t="shared" si="118"/>
      </c>
      <c r="GB45" s="165"/>
      <c r="GC45" s="166">
        <f t="shared" si="119"/>
      </c>
      <c r="GD45" s="595">
        <f t="shared" si="120"/>
      </c>
      <c r="GE45" s="165">
        <f>IF(GD45="","",VLOOKUP(GD45,Picklist!$C$2:$E$5,3))</f>
      </c>
      <c r="GF45" s="594">
        <f t="shared" si="121"/>
      </c>
      <c r="GG45" s="165"/>
      <c r="GH45" s="166">
        <f t="shared" si="12"/>
      </c>
      <c r="GI45" s="593">
        <f t="shared" si="122"/>
        <v>3.12</v>
      </c>
      <c r="GJ45" s="594" t="str">
        <f t="shared" si="123"/>
        <v>n/a</v>
      </c>
      <c r="GK45" s="594">
        <f t="shared" si="124"/>
        <v>0.16182474002798103</v>
      </c>
      <c r="GL45" s="165">
        <f t="shared" si="125"/>
        <v>0.156</v>
      </c>
      <c r="GM45" s="165" t="str">
        <f t="shared" si="126"/>
        <v>n/a</v>
      </c>
      <c r="GN45" s="165">
        <f t="shared" si="127"/>
        <v>0.002311782000399729</v>
      </c>
      <c r="GO45" s="167">
        <f t="shared" si="128"/>
        <v>0.15831178200039972</v>
      </c>
      <c r="GP45" s="165">
        <f t="shared" si="129"/>
        <v>0.156</v>
      </c>
      <c r="GQ45" s="165" t="str">
        <f aca="true" t="shared" si="151" ref="GQ45:GQ61">IF(FT45="n/a","n/a",FT45*(IF(FV45="",1,FV45/$AB45))*IF(OR(GB45="",$AM45=""),1,(GB45/$AM45)))</f>
        <v>n/a</v>
      </c>
      <c r="GR45" s="165">
        <f t="shared" si="130"/>
        <v>0.0016182474002798103</v>
      </c>
      <c r="GS45" s="170">
        <f t="shared" si="131"/>
        <v>0.1576182474002798</v>
      </c>
    </row>
    <row r="46" spans="1:248" s="171" customFormat="1" ht="78" customHeight="1">
      <c r="A46" s="139"/>
      <c r="B46" s="239"/>
      <c r="C46" s="172" t="s">
        <v>387</v>
      </c>
      <c r="D46" s="240" t="s">
        <v>549</v>
      </c>
      <c r="E46" s="237" t="s">
        <v>550</v>
      </c>
      <c r="F46" s="179">
        <v>0.1</v>
      </c>
      <c r="G46" s="121" t="s">
        <v>388</v>
      </c>
      <c r="H46" s="121"/>
      <c r="I46" s="121" t="s">
        <v>388</v>
      </c>
      <c r="J46" s="121" t="s">
        <v>139</v>
      </c>
      <c r="K46" s="121">
        <v>1</v>
      </c>
      <c r="L46" s="121">
        <v>71.4</v>
      </c>
      <c r="M46" s="121"/>
      <c r="N46" s="121">
        <v>40</v>
      </c>
      <c r="O46" s="121">
        <v>20</v>
      </c>
      <c r="P46" s="176">
        <v>2.2</v>
      </c>
      <c r="Q46" s="151">
        <f t="shared" si="14"/>
        <v>1.1900000000000002</v>
      </c>
      <c r="R46" s="132" t="str">
        <f t="shared" si="15"/>
        <v>n/a</v>
      </c>
      <c r="S46" s="143">
        <f t="shared" si="16"/>
        <v>10.046666666666669</v>
      </c>
      <c r="T46" s="143">
        <f t="shared" si="17"/>
        <v>200</v>
      </c>
      <c r="U46" s="143">
        <f t="shared" si="18"/>
        <v>200</v>
      </c>
      <c r="V46" s="152">
        <f t="shared" si="19"/>
        <v>11.236666666666668</v>
      </c>
      <c r="W46" s="153">
        <f t="shared" si="20"/>
        <v>0.05950000000000001</v>
      </c>
      <c r="X46" s="154" t="str">
        <f t="shared" si="21"/>
        <v>n/a</v>
      </c>
      <c r="Y46" s="154" t="str">
        <f t="shared" si="22"/>
        <v>n/a</v>
      </c>
      <c r="Z46" s="154">
        <f t="shared" si="23"/>
        <v>2.857142857142857</v>
      </c>
      <c r="AA46" s="155">
        <f t="shared" si="24"/>
        <v>2.916642857142857</v>
      </c>
      <c r="AB46" s="93">
        <v>0.1</v>
      </c>
      <c r="AC46" s="93" t="s">
        <v>327</v>
      </c>
      <c r="AD46" s="156">
        <v>1</v>
      </c>
      <c r="AE46" s="134" t="s">
        <v>328</v>
      </c>
      <c r="AF46" s="575">
        <v>71.4</v>
      </c>
      <c r="AG46" s="204" t="s">
        <v>329</v>
      </c>
      <c r="AH46" s="302"/>
      <c r="AI46" s="302"/>
      <c r="AJ46" s="304"/>
      <c r="AK46" s="304"/>
      <c r="AL46" s="204"/>
      <c r="AM46" s="87"/>
      <c r="AN46" s="120"/>
      <c r="AO46" s="87">
        <v>40</v>
      </c>
      <c r="AP46" s="91" t="s">
        <v>330</v>
      </c>
      <c r="AQ46" s="87"/>
      <c r="AR46" s="91"/>
      <c r="AS46" s="118" t="s">
        <v>496</v>
      </c>
      <c r="AT46" s="120">
        <f t="shared" si="25"/>
        <v>0.6</v>
      </c>
      <c r="AU46" s="131" t="str">
        <f t="shared" si="139"/>
        <v>RIVM  general fact sheet</v>
      </c>
      <c r="AV46" s="131">
        <f t="shared" si="140"/>
        <v>0.5552005288137497</v>
      </c>
      <c r="AW46" s="156">
        <f aca="true" t="shared" si="152" ref="AW46:AW60">IF(OR(AS46="indoor, typical",AS46="indoor, ventilation",AS46="indoor, active ventilation"),20,IF(AS46="garage",34,IF(AS46="outdoor",100,"")))</f>
        <v>20</v>
      </c>
      <c r="AX46" s="156" t="str">
        <f t="shared" si="138"/>
        <v>TRA default</v>
      </c>
      <c r="AY46" s="164">
        <v>2.2</v>
      </c>
      <c r="AZ46" s="159" t="s">
        <v>331</v>
      </c>
      <c r="BA46" s="125">
        <f t="shared" si="141"/>
        <v>1.1900000000000002</v>
      </c>
      <c r="BB46" s="125">
        <f t="shared" si="142"/>
        <v>1.1900000000000002</v>
      </c>
      <c r="BC46" s="120">
        <f t="shared" si="143"/>
        <v>1</v>
      </c>
      <c r="BD46" s="120" t="str">
        <f t="shared" si="144"/>
        <v>n/a</v>
      </c>
      <c r="BE46" s="120" t="str">
        <f t="shared" si="145"/>
        <v>n/a</v>
      </c>
      <c r="BF46" s="120">
        <f t="shared" si="146"/>
        <v>5.577914646148806</v>
      </c>
      <c r="BG46" s="120">
        <f t="shared" si="28"/>
        <v>111.04010576274996</v>
      </c>
      <c r="BH46" s="120">
        <f t="shared" si="29"/>
      </c>
      <c r="BI46" s="120">
        <f t="shared" si="147"/>
        <v>10.178676361585413</v>
      </c>
      <c r="BJ46" s="158">
        <f t="shared" si="30"/>
        <v>10.178676361585413</v>
      </c>
      <c r="BK46" s="159">
        <f t="shared" si="31"/>
        <v>6.767914646148807</v>
      </c>
      <c r="BL46" s="160" t="str">
        <f t="shared" si="32"/>
        <v>n/a</v>
      </c>
      <c r="BM46" s="161" t="str">
        <f t="shared" si="33"/>
        <v>n/a</v>
      </c>
      <c r="BN46" s="161">
        <f t="shared" si="34"/>
        <v>0.05950000000000001</v>
      </c>
      <c r="BO46" s="162" t="str">
        <f t="shared" si="35"/>
        <v>n/a</v>
      </c>
      <c r="BP46" s="161">
        <f t="shared" si="36"/>
        <v>0.14540966230836305</v>
      </c>
      <c r="BQ46" s="162">
        <f t="shared" si="37"/>
        <v>0.20490966230836305</v>
      </c>
      <c r="BR46" s="161">
        <f t="shared" si="38"/>
        <v>0.05950000000000001</v>
      </c>
      <c r="BS46" s="161" t="str">
        <f t="shared" si="39"/>
        <v>n/a</v>
      </c>
      <c r="BT46" s="161">
        <f t="shared" si="40"/>
        <v>0.14540966230836305</v>
      </c>
      <c r="BU46" s="161">
        <f t="shared" si="41"/>
        <v>0.20490966230836305</v>
      </c>
      <c r="BV46" s="163" t="str">
        <f t="shared" si="42"/>
        <v>Unless otherwise stated, covers concentrations up to 10% [ConsOC1]; covers use up to 364 days/year[ConsOC3]; covers use up to 1 time/on day of use[ConsOC4]; covers skin contact area up to 71,40 cm2 [ConsOC5]; for each use event, covers use amounts up to 40g [ConsOC2]; covers use under typical household ventilation [ConsOC8]; covers use in room size of 20m3[ConsOC11]; for each use event, covers exposure up to 2,20hr/event[ConsOC14]; </v>
      </c>
      <c r="BW46" s="126" t="str">
        <f t="shared" si="43"/>
        <v>No specific RMMs identified beyond those OCs stated</v>
      </c>
      <c r="BX46" s="125" t="str">
        <f t="shared" si="44"/>
        <v>Based upon daily use</v>
      </c>
      <c r="BY46" s="120">
        <f t="shared" si="45"/>
        <v>0.05950000000000001</v>
      </c>
      <c r="BZ46" s="120" t="str">
        <f t="shared" si="46"/>
        <v>n/a</v>
      </c>
      <c r="CA46" s="120">
        <f t="shared" si="47"/>
        <v>0.14540966230836305</v>
      </c>
      <c r="CB46" s="164">
        <f t="shared" si="48"/>
        <v>0.20490966230836305</v>
      </c>
      <c r="CC46" s="120">
        <f t="shared" si="49"/>
        <v>1.1900000000000002</v>
      </c>
      <c r="CD46" s="120" t="str">
        <f t="shared" si="50"/>
        <v>n/a</v>
      </c>
      <c r="CE46" s="159">
        <f t="shared" si="51"/>
        <v>10.178676361585413</v>
      </c>
      <c r="CF46" s="138"/>
      <c r="CG46" s="226" t="str">
        <f t="shared" si="135"/>
        <v>PC18_n: Ink and toners</v>
      </c>
      <c r="CH46" s="227" t="str">
        <f t="shared" si="136"/>
        <v>Inks and toners.</v>
      </c>
      <c r="CI46" s="120">
        <f t="shared" si="52"/>
        <v>1.1900000000000002</v>
      </c>
      <c r="CJ46" s="120" t="str">
        <f t="shared" si="53"/>
        <v>n/a</v>
      </c>
      <c r="CK46" s="120">
        <f t="shared" si="54"/>
        <v>10.178676361585413</v>
      </c>
      <c r="CL46" s="124"/>
      <c r="CM46" s="165">
        <f t="shared" si="55"/>
        <v>11.9</v>
      </c>
      <c r="CN46" s="165" t="str">
        <f t="shared" si="56"/>
        <v>n/a</v>
      </c>
      <c r="CO46" s="165">
        <f t="shared" si="57"/>
        <v>20.357352723170827</v>
      </c>
      <c r="CP46" s="598">
        <f>IF(SUM(CM46:CO46)&lt;$BZ$4,"",adjustparameter($AB46,0.01,SUM(CM46,CN46,CO46)/$AB46,$BZ$4))</f>
        <v>0.01</v>
      </c>
      <c r="CQ46" s="166">
        <f t="shared" si="58"/>
        <v>0.9</v>
      </c>
      <c r="CR46" s="599">
        <f>IF($CK46="n/a","",IF(SUM(CM46:CO46)&lt;$BZ$4,"",adjustparameter($AO46,0.5*$AO46,SUM(SUM(CO46)*CP46/$AB46/$AO46),($BZ$4-SUM(CM46:CN46)*CP46/$AB46))))</f>
        <v>20</v>
      </c>
      <c r="CS46" s="166">
        <f t="shared" si="59"/>
        <v>0.5</v>
      </c>
      <c r="CT46" s="124"/>
      <c r="CU46" s="166">
        <f t="shared" si="60"/>
      </c>
      <c r="CV46" s="124"/>
      <c r="CW46" s="166">
        <f t="shared" si="61"/>
      </c>
      <c r="CX46" s="595" t="str">
        <f t="shared" si="62"/>
        <v>indoor, ventilation</v>
      </c>
      <c r="CY46" s="165">
        <f>IF(CX46="","",VLOOKUP(CX46,Picklist!$C$2:$E$5,3))</f>
        <v>2.5</v>
      </c>
      <c r="CZ46" s="594">
        <f t="shared" si="63"/>
        <v>0.6738563400639732</v>
      </c>
      <c r="DA46" s="165"/>
      <c r="DB46" s="166">
        <f t="shared" si="64"/>
      </c>
      <c r="DC46" s="165">
        <f t="shared" si="65"/>
        <v>0.119</v>
      </c>
      <c r="DD46" s="165" t="str">
        <f t="shared" si="66"/>
        <v>n/a</v>
      </c>
      <c r="DE46" s="165">
        <f t="shared" si="67"/>
        <v>0.16598553809358932</v>
      </c>
      <c r="DF46" s="165">
        <f t="shared" si="68"/>
        <v>0.0059499999999999996</v>
      </c>
      <c r="DG46" s="165" t="str">
        <f t="shared" si="69"/>
        <v>n/a</v>
      </c>
      <c r="DH46" s="165">
        <f t="shared" si="70"/>
        <v>0.002371221972765562</v>
      </c>
      <c r="DI46" s="167">
        <f t="shared" si="71"/>
        <v>0.008321221972765561</v>
      </c>
      <c r="DJ46" s="165">
        <f t="shared" si="72"/>
        <v>1.19</v>
      </c>
      <c r="DK46" s="165" t="str">
        <f t="shared" si="148"/>
        <v>n/a</v>
      </c>
      <c r="DL46" s="165">
        <f t="shared" si="73"/>
        <v>0.33197107618717864</v>
      </c>
      <c r="DM46" s="168">
        <f t="shared" si="74"/>
        <v>1.5219710761871785</v>
      </c>
      <c r="DN46" s="169"/>
      <c r="DO46" s="165">
        <f t="shared" si="75"/>
        <v>1.1900000000000002</v>
      </c>
      <c r="DP46" s="165" t="str">
        <f t="shared" si="76"/>
        <v>n/a</v>
      </c>
      <c r="DQ46" s="165">
        <f t="shared" si="77"/>
        <v>2.0357352723170825</v>
      </c>
      <c r="DR46" s="598">
        <f>IF(SUM(DO46:DQ46)&lt;$BZ$4,"",adjustparameter($AB46,0.01,SUM(DO46,DP46,DQ46)/$AB46,$BZ$4))</f>
        <v>0.027900615643314083</v>
      </c>
      <c r="DS46" s="166">
        <f t="shared" si="78"/>
        <v>0.7209938435668591</v>
      </c>
      <c r="DT46" s="597">
        <f>IF($CK46="n/a","",IF(SUM(DO46:DQ46)&lt;$BZ$4,"",adjustparameter($AO46,0.5*$AO46,SUM(SUM(DQ46)*DR46/$AB46/$AO46),($BZ$4-SUM(DO46:DP46)*DR46/$AB46))))</f>
      </c>
      <c r="DU46" s="166">
        <f t="shared" si="8"/>
      </c>
      <c r="DV46" s="124"/>
      <c r="DW46" s="166">
        <f t="shared" si="79"/>
      </c>
      <c r="DX46" s="124"/>
      <c r="DY46" s="166">
        <f t="shared" si="80"/>
      </c>
      <c r="DZ46" s="595">
        <f t="shared" si="81"/>
      </c>
      <c r="EA46" s="165">
        <f>IF(DZ46="","",VLOOKUP(DZ46,Picklist!$C$2:$E$5,3))</f>
      </c>
      <c r="EB46" s="594">
        <f t="shared" si="82"/>
      </c>
      <c r="EC46" s="165"/>
      <c r="ED46" s="166">
        <f t="shared" si="83"/>
      </c>
      <c r="EE46" s="593">
        <f t="shared" si="84"/>
        <v>0.33201732615543766</v>
      </c>
      <c r="EF46" s="594" t="str">
        <f t="shared" si="85"/>
        <v>n/a</v>
      </c>
      <c r="EG46" s="594">
        <f t="shared" si="86"/>
        <v>2.839913369222813</v>
      </c>
      <c r="EH46" s="165">
        <f t="shared" si="87"/>
        <v>0.016600866307771883</v>
      </c>
      <c r="EI46" s="165" t="str">
        <f t="shared" si="88"/>
        <v>n/a</v>
      </c>
      <c r="EJ46" s="165">
        <f t="shared" si="89"/>
        <v>0.040570190988897324</v>
      </c>
      <c r="EK46" s="167">
        <f t="shared" si="90"/>
        <v>0.05717105729666921</v>
      </c>
      <c r="EL46" s="165">
        <f t="shared" si="91"/>
        <v>0.3320173261554376</v>
      </c>
      <c r="EM46" s="165" t="str">
        <f t="shared" si="149"/>
        <v>n/a</v>
      </c>
      <c r="EN46" s="165">
        <f t="shared" si="92"/>
        <v>0.5679826738445625</v>
      </c>
      <c r="EO46" s="168">
        <f t="shared" si="93"/>
        <v>0.9000000000000001</v>
      </c>
      <c r="EP46" s="169"/>
      <c r="EQ46" s="165">
        <f t="shared" si="94"/>
        <v>0.23800000000000004</v>
      </c>
      <c r="ER46" s="165" t="str">
        <f t="shared" si="95"/>
        <v>n/a</v>
      </c>
      <c r="ES46" s="165">
        <f t="shared" si="96"/>
        <v>0.40714705446341654</v>
      </c>
      <c r="ET46" s="596">
        <f>IF(SUM(EQ46:ES46)&lt;$BZ$4,"",adjustparameter($AB46,0.01,SUM(EQ46,ER46,ES46)/$AB46,$BZ$4))</f>
      </c>
      <c r="EU46" s="166">
        <f t="shared" si="97"/>
      </c>
      <c r="EV46" s="597">
        <f>IF($CK46="n/a","",IF(SUM(EQ46:ES46)&lt;$BZ$4,"",adjustparameter($AO46,0.5*$AO46,SUM(SUM(ES46)*ET46/$AB46/$AO46),($BZ$4-SUM(EQ46:ER46)*ET46/$AB46))))</f>
      </c>
      <c r="EW46" s="166">
        <f t="shared" si="98"/>
      </c>
      <c r="EX46" s="124"/>
      <c r="EY46" s="166">
        <f t="shared" si="99"/>
      </c>
      <c r="EZ46" s="124"/>
      <c r="FA46" s="166">
        <f t="shared" si="100"/>
      </c>
      <c r="FB46" s="595">
        <f t="shared" si="101"/>
      </c>
      <c r="FC46" s="165">
        <f>IF(FB46="","",VLOOKUP(FB46,Picklist!$C$2:$E$5,3))</f>
      </c>
      <c r="FD46" s="594">
        <f t="shared" si="102"/>
      </c>
      <c r="FE46" s="165"/>
      <c r="FF46" s="166">
        <f t="shared" si="10"/>
      </c>
      <c r="FG46" s="593">
        <f t="shared" si="103"/>
        <v>1.1900000000000002</v>
      </c>
      <c r="FH46" s="594" t="str">
        <f t="shared" si="104"/>
        <v>n/a</v>
      </c>
      <c r="FI46" s="594">
        <f t="shared" si="105"/>
        <v>10.178676361585413</v>
      </c>
      <c r="FJ46" s="165">
        <f t="shared" si="106"/>
        <v>0.05950000000000001</v>
      </c>
      <c r="FK46" s="165" t="str">
        <f t="shared" si="107"/>
        <v>n/a</v>
      </c>
      <c r="FL46" s="165">
        <f t="shared" si="108"/>
        <v>0.14540966230836305</v>
      </c>
      <c r="FM46" s="167">
        <f t="shared" si="109"/>
        <v>0.20490966230836305</v>
      </c>
      <c r="FN46" s="165">
        <f t="shared" si="110"/>
        <v>0.23800000000000004</v>
      </c>
      <c r="FO46" s="165" t="str">
        <f t="shared" si="150"/>
        <v>n/a</v>
      </c>
      <c r="FP46" s="165">
        <f t="shared" si="111"/>
        <v>0.40714705446341654</v>
      </c>
      <c r="FQ46" s="168">
        <f t="shared" si="112"/>
        <v>0.6451470544634166</v>
      </c>
      <c r="FR46" s="169"/>
      <c r="FS46" s="165">
        <f t="shared" si="113"/>
        <v>0.05950000000000001</v>
      </c>
      <c r="FT46" s="165" t="str">
        <f t="shared" si="114"/>
        <v>n/a</v>
      </c>
      <c r="FU46" s="165">
        <f t="shared" si="115"/>
        <v>0.10178676361585413</v>
      </c>
      <c r="FV46" s="596">
        <f>IF(SUM(FS46:FU46)&lt;$BZ$4,"",adjustparameter($AB46,0.01,SUM(FS46,FT46,FU46)/$AB46,$BZ$4))</f>
      </c>
      <c r="FW46" s="166">
        <f t="shared" si="116"/>
      </c>
      <c r="FX46" s="597">
        <f>IF($CK46="n/a","",IF(SUM(FS46:FU46)&lt;$BZ$4,"",adjustparameter($AO46,0.5*$AO46,SUM(SUM(FU46)*FV46/$AB46/$AO46),($BZ$4-SUM(FS46:FT46)*FV46/$AB46))))</f>
      </c>
      <c r="FY46" s="166">
        <f t="shared" si="117"/>
      </c>
      <c r="FZ46" s="124"/>
      <c r="GA46" s="166">
        <f t="shared" si="118"/>
      </c>
      <c r="GB46" s="124"/>
      <c r="GC46" s="166">
        <f t="shared" si="119"/>
      </c>
      <c r="GD46" s="595">
        <f t="shared" si="120"/>
      </c>
      <c r="GE46" s="165">
        <f>IF(GD46="","",VLOOKUP(GD46,Picklist!$C$2:$E$5,3))</f>
      </c>
      <c r="GF46" s="594">
        <f t="shared" si="121"/>
      </c>
      <c r="GG46" s="165"/>
      <c r="GH46" s="166">
        <f t="shared" si="12"/>
      </c>
      <c r="GI46" s="593">
        <f t="shared" si="122"/>
        <v>1.1900000000000002</v>
      </c>
      <c r="GJ46" s="594" t="str">
        <f t="shared" si="123"/>
        <v>n/a</v>
      </c>
      <c r="GK46" s="594">
        <f t="shared" si="124"/>
        <v>10.178676361585413</v>
      </c>
      <c r="GL46" s="165">
        <f t="shared" si="125"/>
        <v>0.05950000000000001</v>
      </c>
      <c r="GM46" s="165" t="str">
        <f t="shared" si="126"/>
        <v>n/a</v>
      </c>
      <c r="GN46" s="165">
        <f t="shared" si="127"/>
        <v>0.14540966230836305</v>
      </c>
      <c r="GO46" s="167">
        <f t="shared" si="128"/>
        <v>0.20490966230836305</v>
      </c>
      <c r="GP46" s="165">
        <f t="shared" si="129"/>
        <v>0.05950000000000001</v>
      </c>
      <c r="GQ46" s="165" t="str">
        <f t="shared" si="151"/>
        <v>n/a</v>
      </c>
      <c r="GR46" s="165">
        <f t="shared" si="130"/>
        <v>0.10178676361585413</v>
      </c>
      <c r="GS46" s="170">
        <f t="shared" si="131"/>
        <v>0.16128676361585415</v>
      </c>
      <c r="GT46" s="139"/>
      <c r="GU46" s="139"/>
      <c r="GV46" s="139"/>
      <c r="GW46" s="139"/>
      <c r="GX46" s="139"/>
      <c r="GY46" s="139"/>
      <c r="GZ46" s="139"/>
      <c r="HA46" s="139"/>
      <c r="HB46" s="139"/>
      <c r="HC46" s="139"/>
      <c r="HD46" s="139"/>
      <c r="HE46" s="139"/>
      <c r="HF46" s="139"/>
      <c r="HG46" s="139"/>
      <c r="HH46" s="139"/>
      <c r="HI46" s="139"/>
      <c r="HJ46" s="139"/>
      <c r="HK46" s="139"/>
      <c r="HL46" s="139"/>
      <c r="HM46" s="139"/>
      <c r="HN46" s="139"/>
      <c r="HO46" s="139"/>
      <c r="HP46" s="139"/>
      <c r="HQ46" s="139"/>
      <c r="HR46" s="139"/>
      <c r="HS46" s="139"/>
      <c r="HT46" s="139"/>
      <c r="HU46" s="139"/>
      <c r="HV46" s="139"/>
      <c r="HW46" s="139"/>
      <c r="HX46" s="139"/>
      <c r="HY46" s="139"/>
      <c r="HZ46" s="139"/>
      <c r="IA46" s="139"/>
      <c r="IB46" s="139"/>
      <c r="IC46" s="139"/>
      <c r="ID46" s="139"/>
      <c r="IE46" s="139"/>
      <c r="IF46" s="139"/>
      <c r="IG46" s="139"/>
      <c r="IH46" s="139"/>
      <c r="II46" s="139"/>
      <c r="IJ46" s="139"/>
      <c r="IK46" s="139"/>
      <c r="IL46" s="139"/>
      <c r="IM46" s="139"/>
      <c r="IN46" s="139"/>
    </row>
    <row r="47" spans="1:248" s="171" customFormat="1" ht="92.25" customHeight="1">
      <c r="A47" s="139"/>
      <c r="B47" s="241"/>
      <c r="C47" s="172" t="s">
        <v>387</v>
      </c>
      <c r="D47" s="242" t="s">
        <v>551</v>
      </c>
      <c r="E47" s="238" t="s">
        <v>31</v>
      </c>
      <c r="F47" s="179">
        <v>0.5</v>
      </c>
      <c r="G47" s="121" t="s">
        <v>388</v>
      </c>
      <c r="H47" s="121"/>
      <c r="I47" s="121" t="s">
        <v>388</v>
      </c>
      <c r="J47" s="121" t="s">
        <v>139</v>
      </c>
      <c r="K47" s="121">
        <v>1</v>
      </c>
      <c r="L47" s="121">
        <v>857.5</v>
      </c>
      <c r="M47" s="121"/>
      <c r="N47" s="121">
        <v>56</v>
      </c>
      <c r="O47" s="121">
        <v>20</v>
      </c>
      <c r="P47" s="176">
        <v>1</v>
      </c>
      <c r="Q47" s="151">
        <f t="shared" si="14"/>
        <v>71.45833333333334</v>
      </c>
      <c r="R47" s="132" t="str">
        <f t="shared" si="15"/>
        <v>n/a</v>
      </c>
      <c r="S47" s="143">
        <f t="shared" si="16"/>
        <v>31.966666666666665</v>
      </c>
      <c r="T47" s="143">
        <f t="shared" si="17"/>
        <v>1400</v>
      </c>
      <c r="U47" s="143">
        <f t="shared" si="18"/>
        <v>1400</v>
      </c>
      <c r="V47" s="152">
        <f t="shared" si="19"/>
        <v>103.42500000000001</v>
      </c>
      <c r="W47" s="153">
        <f t="shared" si="20"/>
        <v>3.572916666666667</v>
      </c>
      <c r="X47" s="154" t="str">
        <f t="shared" si="21"/>
        <v>n/a</v>
      </c>
      <c r="Y47" s="154" t="str">
        <f t="shared" si="22"/>
        <v>n/a</v>
      </c>
      <c r="Z47" s="154">
        <f t="shared" si="23"/>
        <v>20</v>
      </c>
      <c r="AA47" s="155">
        <f t="shared" si="24"/>
        <v>23.572916666666668</v>
      </c>
      <c r="AB47" s="92">
        <v>0.5</v>
      </c>
      <c r="AC47" s="87" t="s">
        <v>332</v>
      </c>
      <c r="AD47" s="156">
        <v>0.2</v>
      </c>
      <c r="AE47" s="134" t="s">
        <v>643</v>
      </c>
      <c r="AF47" s="575">
        <v>430</v>
      </c>
      <c r="AG47" s="204" t="s">
        <v>333</v>
      </c>
      <c r="AH47" s="302"/>
      <c r="AI47" s="302"/>
      <c r="AJ47" s="304"/>
      <c r="AK47" s="304"/>
      <c r="AL47" s="204"/>
      <c r="AM47" s="87"/>
      <c r="AN47" s="120"/>
      <c r="AO47" s="81">
        <v>56</v>
      </c>
      <c r="AP47" s="81" t="s">
        <v>334</v>
      </c>
      <c r="AQ47" s="87"/>
      <c r="AR47" s="81"/>
      <c r="AS47" s="118" t="s">
        <v>496</v>
      </c>
      <c r="AT47" s="120">
        <f t="shared" si="25"/>
        <v>0.6</v>
      </c>
      <c r="AU47" s="131" t="str">
        <f t="shared" si="139"/>
        <v>RIVM  general fact sheet</v>
      </c>
      <c r="AV47" s="131">
        <f t="shared" si="140"/>
        <v>0.7072234441512499</v>
      </c>
      <c r="AW47" s="156">
        <f t="shared" si="152"/>
        <v>20</v>
      </c>
      <c r="AX47" s="156" t="str">
        <f t="shared" si="138"/>
        <v>TRA default</v>
      </c>
      <c r="AY47" s="164">
        <v>1.23</v>
      </c>
      <c r="AZ47" s="192" t="s">
        <v>59</v>
      </c>
      <c r="BA47" s="125">
        <f t="shared" si="141"/>
        <v>35.83333333333334</v>
      </c>
      <c r="BB47" s="125">
        <f t="shared" si="142"/>
        <v>7.166666666666669</v>
      </c>
      <c r="BC47" s="120">
        <f t="shared" si="143"/>
        <v>5</v>
      </c>
      <c r="BD47" s="120" t="str">
        <f t="shared" si="144"/>
        <v>n/a</v>
      </c>
      <c r="BE47" s="120" t="str">
        <f t="shared" si="145"/>
        <v>n/a</v>
      </c>
      <c r="BF47" s="120">
        <f t="shared" si="146"/>
        <v>27.80731860058299</v>
      </c>
      <c r="BG47" s="120">
        <f t="shared" si="28"/>
        <v>990.11282181175</v>
      </c>
      <c r="BH47" s="120">
        <f t="shared" si="29"/>
      </c>
      <c r="BI47" s="120">
        <f t="shared" si="147"/>
        <v>50.74328211785218</v>
      </c>
      <c r="BJ47" s="158">
        <f t="shared" si="30"/>
        <v>10.148656423570438</v>
      </c>
      <c r="BK47" s="159">
        <f t="shared" si="31"/>
        <v>63.64065193391633</v>
      </c>
      <c r="BL47" s="160" t="str">
        <f t="shared" si="32"/>
        <v>n/a</v>
      </c>
      <c r="BM47" s="161" t="str">
        <f t="shared" si="33"/>
        <v>n/a</v>
      </c>
      <c r="BN47" s="161">
        <f t="shared" si="34"/>
        <v>1.7916666666666672</v>
      </c>
      <c r="BO47" s="162" t="str">
        <f t="shared" si="35"/>
        <v>n/a</v>
      </c>
      <c r="BP47" s="161">
        <f t="shared" si="36"/>
        <v>0.7249040302550311</v>
      </c>
      <c r="BQ47" s="162">
        <f t="shared" si="37"/>
        <v>2.5165706969216983</v>
      </c>
      <c r="BR47" s="161">
        <f t="shared" si="38"/>
        <v>0.35833333333333345</v>
      </c>
      <c r="BS47" s="161" t="str">
        <f t="shared" si="39"/>
        <v>n/a</v>
      </c>
      <c r="BT47" s="161">
        <f t="shared" si="40"/>
        <v>0.14498080605100627</v>
      </c>
      <c r="BU47" s="161">
        <f t="shared" si="41"/>
        <v>0.5033141393843397</v>
      </c>
      <c r="BV47" s="163" t="str">
        <f t="shared" si="42"/>
        <v>Unless otherwise stated, covers concentrations up to 50% [ConsOC1]; covers use up to 51 days/year[ConsOC3]; covers use up to 1 time/on day of use[ConsOC4]; covers skin contact area up to 430,00 cm2 [ConsOC5]; for each use event, covers use amounts up to 56g [ConsOC2]; covers use under typical household ventilation [ConsOC8]; covers use in room size of 20m3[ConsOC11]; for each use event, covers exposure up to 1,23hr/event[ConsOC14]; </v>
      </c>
      <c r="BW47" s="126" t="str">
        <f t="shared" si="43"/>
        <v>No specific RMMs identified beyond those OCs stated</v>
      </c>
      <c r="BX47" s="125" t="str">
        <f t="shared" si="44"/>
        <v>Based upon infrequent use (&lt;365 days/yr)</v>
      </c>
      <c r="BY47" s="120">
        <f t="shared" si="45"/>
        <v>0.35833333333333345</v>
      </c>
      <c r="BZ47" s="120" t="str">
        <f t="shared" si="46"/>
        <v>n/a</v>
      </c>
      <c r="CA47" s="120">
        <f t="shared" si="47"/>
        <v>0.14498080605100627</v>
      </c>
      <c r="CB47" s="164">
        <f t="shared" si="48"/>
        <v>0.5033141393843397</v>
      </c>
      <c r="CC47" s="120">
        <f t="shared" si="49"/>
        <v>5</v>
      </c>
      <c r="CD47" s="120" t="str">
        <f t="shared" si="50"/>
        <v>n/a</v>
      </c>
      <c r="CE47" s="159">
        <f t="shared" si="51"/>
        <v>10.148656423570438</v>
      </c>
      <c r="CF47" s="138"/>
      <c r="CG47" s="226" t="str">
        <f t="shared" si="135"/>
        <v>PC23_n: Leather tanning, dye, finishing, impregnation and care products</v>
      </c>
      <c r="CH47" s="227" t="str">
        <f t="shared" si="136"/>
        <v>Polishes, wax / cream (floor, furniture, shoes)</v>
      </c>
      <c r="CI47" s="120">
        <f t="shared" si="52"/>
        <v>7.166666666666669</v>
      </c>
      <c r="CJ47" s="120" t="str">
        <f t="shared" si="53"/>
        <v>n/a</v>
      </c>
      <c r="CK47" s="120">
        <f t="shared" si="54"/>
        <v>10.148656423570438</v>
      </c>
      <c r="CL47" s="124"/>
      <c r="CM47" s="165">
        <f t="shared" si="55"/>
        <v>71.66666666666669</v>
      </c>
      <c r="CN47" s="165" t="str">
        <f t="shared" si="56"/>
        <v>n/a</v>
      </c>
      <c r="CO47" s="165">
        <f t="shared" si="57"/>
        <v>20.297312847140876</v>
      </c>
      <c r="CP47" s="598">
        <f>IF(SUM(CM47:CO47)&lt;$BZ$4,"",adjustparameter($AB47,0.01,SUM(CM47,CN47,CO47)/$AB47,$BZ$4))</f>
        <v>0.01</v>
      </c>
      <c r="CQ47" s="166">
        <f t="shared" si="58"/>
        <v>0.98</v>
      </c>
      <c r="CR47" s="599">
        <f>IF($CK47="n/a","",IF(SUM(CM47:CO47)&lt;$BZ$4,"",adjustparameter($AO47,0.5*$AO47,SUM(SUM(CO47)*CP47/$AB47/$AO47),($BZ$4-SUM(CM47:CN47)*CP47/$AB47))))</f>
        <v>28</v>
      </c>
      <c r="CS47" s="166">
        <f t="shared" si="59"/>
        <v>0.5</v>
      </c>
      <c r="CT47" s="124"/>
      <c r="CU47" s="166">
        <f t="shared" si="60"/>
      </c>
      <c r="CV47" s="124"/>
      <c r="CW47" s="166">
        <f t="shared" si="61"/>
      </c>
      <c r="CX47" s="595" t="str">
        <f t="shared" si="62"/>
        <v>indoor, ventilation</v>
      </c>
      <c r="CY47" s="165">
        <f>IF(CX47="","",VLOOKUP(CX47,Picklist!$C$2:$E$5,3))</f>
        <v>2.5</v>
      </c>
      <c r="CZ47" s="594">
        <f t="shared" si="63"/>
        <v>0.5614084385382911</v>
      </c>
      <c r="DA47" s="165"/>
      <c r="DB47" s="166">
        <f t="shared" si="64"/>
      </c>
      <c r="DC47" s="165">
        <f t="shared" si="65"/>
        <v>0.1433333333333335</v>
      </c>
      <c r="DD47" s="165" t="str">
        <f t="shared" si="66"/>
        <v>n/a</v>
      </c>
      <c r="DE47" s="165">
        <f t="shared" si="67"/>
        <v>0.044511150675521645</v>
      </c>
      <c r="DF47" s="165">
        <f t="shared" si="68"/>
        <v>0.007166666666666675</v>
      </c>
      <c r="DG47" s="165" t="str">
        <f t="shared" si="69"/>
        <v>n/a</v>
      </c>
      <c r="DH47" s="165">
        <f t="shared" si="70"/>
        <v>0.0006358735810788807</v>
      </c>
      <c r="DI47" s="167">
        <f t="shared" si="71"/>
        <v>0.007802540247745556</v>
      </c>
      <c r="DJ47" s="165">
        <f t="shared" si="72"/>
        <v>1.4333333333333338</v>
      </c>
      <c r="DK47" s="165" t="str">
        <f t="shared" si="148"/>
        <v>n/a</v>
      </c>
      <c r="DL47" s="165">
        <f t="shared" si="73"/>
        <v>0.0890223013510432</v>
      </c>
      <c r="DM47" s="168">
        <f t="shared" si="74"/>
        <v>1.522355634684377</v>
      </c>
      <c r="DN47" s="169"/>
      <c r="DO47" s="165">
        <f t="shared" si="75"/>
        <v>7.166666666666669</v>
      </c>
      <c r="DP47" s="165" t="str">
        <f t="shared" si="76"/>
        <v>n/a</v>
      </c>
      <c r="DQ47" s="165">
        <f t="shared" si="77"/>
        <v>2.029731284714088</v>
      </c>
      <c r="DR47" s="598">
        <f>IF(SUM(DO47:DQ47)&lt;$BZ$4,"",adjustparameter($AB47,0.01,SUM(DO47,DP47,DQ47)/$AB47,$BZ$4))</f>
        <v>0.048932201757584504</v>
      </c>
      <c r="DS47" s="166">
        <f t="shared" si="78"/>
        <v>0.902135596484831</v>
      </c>
      <c r="DT47" s="597">
        <f>IF($CK47="n/a","",IF(SUM(DO47:DQ47)&lt;$BZ$4,"",adjustparameter($AO47,0.5*$AO47,SUM(SUM(DQ47)*DR47/$AB47/$AO47),($BZ$4-SUM(DO47:DP47)*DR47/$AB47))))</f>
      </c>
      <c r="DU47" s="166">
        <f t="shared" si="8"/>
      </c>
      <c r="DV47" s="124"/>
      <c r="DW47" s="166">
        <f t="shared" si="79"/>
      </c>
      <c r="DX47" s="124"/>
      <c r="DY47" s="166">
        <f t="shared" si="80"/>
      </c>
      <c r="DZ47" s="595">
        <f t="shared" si="81"/>
      </c>
      <c r="EA47" s="165">
        <f>IF(DZ47="","",VLOOKUP(DZ47,Picklist!$C$2:$E$5,3))</f>
      </c>
      <c r="EB47" s="594">
        <f t="shared" si="82"/>
      </c>
      <c r="EC47" s="165"/>
      <c r="ED47" s="166">
        <f t="shared" si="83"/>
      </c>
      <c r="EE47" s="593">
        <f t="shared" si="84"/>
        <v>0.7013615585253781</v>
      </c>
      <c r="EF47" s="594" t="str">
        <f t="shared" si="85"/>
        <v>n/a</v>
      </c>
      <c r="EG47" s="594">
        <f t="shared" si="86"/>
        <v>0.9931922073731093</v>
      </c>
      <c r="EH47" s="165">
        <f t="shared" si="87"/>
        <v>0.035068077926268905</v>
      </c>
      <c r="EI47" s="165" t="str">
        <f t="shared" si="88"/>
        <v>n/a</v>
      </c>
      <c r="EJ47" s="165">
        <f t="shared" si="89"/>
        <v>0.014188460105330133</v>
      </c>
      <c r="EK47" s="167">
        <f t="shared" si="90"/>
        <v>0.04925653803159904</v>
      </c>
      <c r="EL47" s="165">
        <f t="shared" si="91"/>
        <v>0.7013615585253781</v>
      </c>
      <c r="EM47" s="165" t="str">
        <f t="shared" si="149"/>
        <v>n/a</v>
      </c>
      <c r="EN47" s="165">
        <f t="shared" si="92"/>
        <v>0.19863844147462187</v>
      </c>
      <c r="EO47" s="168">
        <f t="shared" si="93"/>
        <v>0.8999999999999999</v>
      </c>
      <c r="EP47" s="169"/>
      <c r="EQ47" s="165">
        <f t="shared" si="94"/>
        <v>1.4333333333333338</v>
      </c>
      <c r="ER47" s="165" t="str">
        <f t="shared" si="95"/>
        <v>n/a</v>
      </c>
      <c r="ES47" s="165">
        <f t="shared" si="96"/>
        <v>0.40594625694281755</v>
      </c>
      <c r="ET47" s="596">
        <f>IF(SUM(EQ47:ES47)&lt;$BZ$4,"",adjustparameter($AB47,0.01,SUM(EQ47,ER47,ES47)/$AB47,$BZ$4))</f>
        <v>0.24466100878792252</v>
      </c>
      <c r="EU47" s="166">
        <f t="shared" si="97"/>
        <v>0.510677982424155</v>
      </c>
      <c r="EV47" s="597">
        <f>IF($CK47="n/a","",IF(SUM(EQ47:ES47)&lt;$BZ$4,"",adjustparameter($AO47,0.5*$AO47,SUM(SUM(ES47)*ET47/$AB47/$AO47),($BZ$4-SUM(EQ47:ER47)*ET47/$AB47))))</f>
      </c>
      <c r="EW47" s="166">
        <f t="shared" si="98"/>
      </c>
      <c r="EX47" s="124"/>
      <c r="EY47" s="166">
        <f t="shared" si="99"/>
      </c>
      <c r="EZ47" s="124"/>
      <c r="FA47" s="166">
        <f t="shared" si="100"/>
      </c>
      <c r="FB47" s="595">
        <f t="shared" si="101"/>
      </c>
      <c r="FC47" s="165">
        <f>IF(FB47="","",VLOOKUP(FB47,Picklist!$C$2:$E$5,3))</f>
      </c>
      <c r="FD47" s="594">
        <f t="shared" si="102"/>
      </c>
      <c r="FE47" s="165"/>
      <c r="FF47" s="166">
        <f t="shared" si="10"/>
      </c>
      <c r="FG47" s="593">
        <f t="shared" si="103"/>
        <v>3.5068077926268906</v>
      </c>
      <c r="FH47" s="594" t="str">
        <f t="shared" si="104"/>
        <v>n/a</v>
      </c>
      <c r="FI47" s="594">
        <f t="shared" si="105"/>
        <v>4.965961036865546</v>
      </c>
      <c r="FJ47" s="165">
        <f t="shared" si="106"/>
        <v>0.17534038963134452</v>
      </c>
      <c r="FK47" s="165" t="str">
        <f t="shared" si="107"/>
        <v>n/a</v>
      </c>
      <c r="FL47" s="165">
        <f t="shared" si="108"/>
        <v>0.07094230052665067</v>
      </c>
      <c r="FM47" s="167">
        <f t="shared" si="109"/>
        <v>0.2462826901579952</v>
      </c>
      <c r="FN47" s="165">
        <f t="shared" si="110"/>
        <v>0.7013615585253781</v>
      </c>
      <c r="FO47" s="165" t="str">
        <f t="shared" si="150"/>
        <v>n/a</v>
      </c>
      <c r="FP47" s="165">
        <f t="shared" si="111"/>
        <v>0.19863844147462187</v>
      </c>
      <c r="FQ47" s="168">
        <f t="shared" si="112"/>
        <v>0.8999999999999999</v>
      </c>
      <c r="FR47" s="169"/>
      <c r="FS47" s="165">
        <f t="shared" si="113"/>
        <v>0.35833333333333345</v>
      </c>
      <c r="FT47" s="165" t="str">
        <f t="shared" si="114"/>
        <v>n/a</v>
      </c>
      <c r="FU47" s="165">
        <f t="shared" si="115"/>
        <v>0.10148656423570439</v>
      </c>
      <c r="FV47" s="596">
        <f>IF(SUM(FS47:FU47)&lt;$BZ$4,"",adjustparameter($AB47,0.01,SUM(FS47,FT47,FU47)/$AB47,$BZ$4))</f>
      </c>
      <c r="FW47" s="166">
        <f t="shared" si="116"/>
      </c>
      <c r="FX47" s="597">
        <f>IF($CK47="n/a","",IF(SUM(FS47:FU47)&lt;$BZ$4,"",adjustparameter($AO47,0.5*$AO47,SUM(SUM(FU47)*FV47/$AB47/$AO47),($BZ$4-SUM(FS47:FT47)*FV47/$AB47))))</f>
      </c>
      <c r="FY47" s="166">
        <f t="shared" si="117"/>
      </c>
      <c r="FZ47" s="124"/>
      <c r="GA47" s="166">
        <f t="shared" si="118"/>
      </c>
      <c r="GB47" s="124"/>
      <c r="GC47" s="166">
        <f t="shared" si="119"/>
      </c>
      <c r="GD47" s="595">
        <f t="shared" si="120"/>
      </c>
      <c r="GE47" s="165">
        <f>IF(GD47="","",VLOOKUP(GD47,Picklist!$C$2:$E$5,3))</f>
      </c>
      <c r="GF47" s="594">
        <f t="shared" si="121"/>
      </c>
      <c r="GG47" s="165"/>
      <c r="GH47" s="166">
        <f t="shared" si="12"/>
      </c>
      <c r="GI47" s="593">
        <f t="shared" si="122"/>
        <v>7.166666666666669</v>
      </c>
      <c r="GJ47" s="594" t="str">
        <f t="shared" si="123"/>
        <v>n/a</v>
      </c>
      <c r="GK47" s="594">
        <f t="shared" si="124"/>
        <v>10.148656423570438</v>
      </c>
      <c r="GL47" s="165">
        <f t="shared" si="125"/>
        <v>0.35833333333333345</v>
      </c>
      <c r="GM47" s="165" t="str">
        <f t="shared" si="126"/>
        <v>n/a</v>
      </c>
      <c r="GN47" s="165">
        <f t="shared" si="127"/>
        <v>0.14498080605100627</v>
      </c>
      <c r="GO47" s="167">
        <f t="shared" si="128"/>
        <v>0.5033141393843397</v>
      </c>
      <c r="GP47" s="165">
        <f t="shared" si="129"/>
        <v>0.35833333333333345</v>
      </c>
      <c r="GQ47" s="165" t="str">
        <f t="shared" si="151"/>
        <v>n/a</v>
      </c>
      <c r="GR47" s="165">
        <f t="shared" si="130"/>
        <v>0.10148656423570439</v>
      </c>
      <c r="GS47" s="170">
        <f t="shared" si="131"/>
        <v>0.45981989756903785</v>
      </c>
      <c r="GT47" s="139"/>
      <c r="GU47" s="139"/>
      <c r="GV47" s="139"/>
      <c r="GW47" s="139"/>
      <c r="GX47" s="139"/>
      <c r="GY47" s="139"/>
      <c r="GZ47" s="139"/>
      <c r="HA47" s="139"/>
      <c r="HB47" s="139"/>
      <c r="HC47" s="139"/>
      <c r="HD47" s="139"/>
      <c r="HE47" s="139"/>
      <c r="HF47" s="139"/>
      <c r="HG47" s="139"/>
      <c r="HH47" s="139"/>
      <c r="HI47" s="139"/>
      <c r="HJ47" s="139"/>
      <c r="HK47" s="139"/>
      <c r="HL47" s="139"/>
      <c r="HM47" s="139"/>
      <c r="HN47" s="139"/>
      <c r="HO47" s="139"/>
      <c r="HP47" s="139"/>
      <c r="HQ47" s="139"/>
      <c r="HR47" s="139"/>
      <c r="HS47" s="139"/>
      <c r="HT47" s="139"/>
      <c r="HU47" s="139"/>
      <c r="HV47" s="139"/>
      <c r="HW47" s="139"/>
      <c r="HX47" s="139"/>
      <c r="HY47" s="139"/>
      <c r="HZ47" s="139"/>
      <c r="IA47" s="139"/>
      <c r="IB47" s="139"/>
      <c r="IC47" s="139"/>
      <c r="ID47" s="139"/>
      <c r="IE47" s="139"/>
      <c r="IF47" s="139"/>
      <c r="IG47" s="139"/>
      <c r="IH47" s="139"/>
      <c r="II47" s="139"/>
      <c r="IJ47" s="139"/>
      <c r="IK47" s="139"/>
      <c r="IL47" s="139"/>
      <c r="IM47" s="139"/>
      <c r="IN47" s="139"/>
    </row>
    <row r="48" spans="1:248" s="171" customFormat="1" ht="135.75" customHeight="1">
      <c r="A48" s="139"/>
      <c r="B48" s="241"/>
      <c r="C48" s="243" t="s">
        <v>387</v>
      </c>
      <c r="D48" s="242" t="s">
        <v>551</v>
      </c>
      <c r="E48" s="244" t="s">
        <v>282</v>
      </c>
      <c r="F48" s="209">
        <v>0.5</v>
      </c>
      <c r="G48" s="128" t="s">
        <v>388</v>
      </c>
      <c r="H48" s="128"/>
      <c r="I48" s="128" t="s">
        <v>388</v>
      </c>
      <c r="J48" s="128" t="s">
        <v>398</v>
      </c>
      <c r="K48" s="128">
        <v>1</v>
      </c>
      <c r="L48" s="128">
        <v>857.5</v>
      </c>
      <c r="M48" s="128"/>
      <c r="N48" s="121">
        <v>56</v>
      </c>
      <c r="O48" s="128">
        <v>20</v>
      </c>
      <c r="P48" s="176">
        <v>1</v>
      </c>
      <c r="Q48" s="151">
        <f t="shared" si="14"/>
        <v>71.45833333333334</v>
      </c>
      <c r="R48" s="132" t="str">
        <f t="shared" si="15"/>
        <v>n/a</v>
      </c>
      <c r="S48" s="143">
        <f t="shared" si="16"/>
        <v>31.966666666666665</v>
      </c>
      <c r="T48" s="143">
        <f t="shared" si="17"/>
        <v>1400</v>
      </c>
      <c r="U48" s="143">
        <f t="shared" si="18"/>
        <v>1400</v>
      </c>
      <c r="V48" s="152">
        <f t="shared" si="19"/>
        <v>103.42500000000001</v>
      </c>
      <c r="W48" s="153">
        <f t="shared" si="20"/>
        <v>3.572916666666667</v>
      </c>
      <c r="X48" s="154" t="str">
        <f t="shared" si="21"/>
        <v>n/a</v>
      </c>
      <c r="Y48" s="154" t="str">
        <f t="shared" si="22"/>
        <v>n/a</v>
      </c>
      <c r="Z48" s="154">
        <f t="shared" si="23"/>
        <v>20</v>
      </c>
      <c r="AA48" s="155">
        <f t="shared" si="24"/>
        <v>23.572916666666668</v>
      </c>
      <c r="AB48" s="103">
        <v>0.5</v>
      </c>
      <c r="AC48" s="87" t="s">
        <v>332</v>
      </c>
      <c r="AD48" s="610">
        <v>0.04</v>
      </c>
      <c r="AE48" s="134" t="s">
        <v>643</v>
      </c>
      <c r="AF48" s="576">
        <v>430</v>
      </c>
      <c r="AG48" s="204" t="s">
        <v>333</v>
      </c>
      <c r="AH48" s="308"/>
      <c r="AI48" s="308"/>
      <c r="AJ48" s="309"/>
      <c r="AK48" s="309"/>
      <c r="AL48" s="245"/>
      <c r="AM48" s="117"/>
      <c r="AN48" s="135"/>
      <c r="AO48" s="117">
        <v>56</v>
      </c>
      <c r="AP48" s="81" t="s">
        <v>334</v>
      </c>
      <c r="AQ48" s="316"/>
      <c r="AR48" s="109"/>
      <c r="AS48" s="129" t="s">
        <v>496</v>
      </c>
      <c r="AT48" s="120">
        <f t="shared" si="25"/>
        <v>0.6</v>
      </c>
      <c r="AU48" s="131" t="str">
        <f t="shared" si="139"/>
        <v>RIVM  general fact sheet</v>
      </c>
      <c r="AV48" s="131">
        <f t="shared" si="140"/>
        <v>0.9072229639503482</v>
      </c>
      <c r="AW48" s="156">
        <f t="shared" si="152"/>
        <v>20</v>
      </c>
      <c r="AX48" s="156" t="str">
        <f t="shared" si="138"/>
        <v>TRA default</v>
      </c>
      <c r="AY48" s="213">
        <v>0.33</v>
      </c>
      <c r="AZ48" s="246" t="s">
        <v>62</v>
      </c>
      <c r="BA48" s="125">
        <f t="shared" si="141"/>
        <v>35.83333333333334</v>
      </c>
      <c r="BB48" s="125">
        <f t="shared" si="142"/>
        <v>1.4333333333333338</v>
      </c>
      <c r="BC48" s="120">
        <f t="shared" si="143"/>
        <v>5</v>
      </c>
      <c r="BD48" s="120" t="str">
        <f t="shared" si="144"/>
        <v>n/a</v>
      </c>
      <c r="BE48" s="120" t="str">
        <f t="shared" si="145"/>
        <v>n/a</v>
      </c>
      <c r="BF48" s="120">
        <f t="shared" si="146"/>
        <v>9.570295046712223</v>
      </c>
      <c r="BG48" s="120">
        <f t="shared" si="28"/>
        <v>1270.1121495304874</v>
      </c>
      <c r="BH48" s="120">
        <f t="shared" si="29"/>
      </c>
      <c r="BI48" s="120">
        <f t="shared" si="147"/>
        <v>17.464042056044203</v>
      </c>
      <c r="BJ48" s="158">
        <f t="shared" si="30"/>
        <v>0.6985616822417681</v>
      </c>
      <c r="BK48" s="159">
        <f t="shared" si="31"/>
        <v>45.40362838004557</v>
      </c>
      <c r="BL48" s="160" t="str">
        <f t="shared" si="32"/>
        <v>n/a</v>
      </c>
      <c r="BM48" s="161" t="str">
        <f t="shared" si="33"/>
        <v>n/a</v>
      </c>
      <c r="BN48" s="161">
        <f t="shared" si="34"/>
        <v>1.7916666666666672</v>
      </c>
      <c r="BO48" s="162" t="str">
        <f t="shared" si="35"/>
        <v>n/a</v>
      </c>
      <c r="BP48" s="161">
        <f t="shared" si="36"/>
        <v>0.24948631508634575</v>
      </c>
      <c r="BQ48" s="162">
        <f t="shared" si="37"/>
        <v>2.041152981753013</v>
      </c>
      <c r="BR48" s="161">
        <f t="shared" si="38"/>
        <v>0.07166666666666668</v>
      </c>
      <c r="BS48" s="161" t="str">
        <f t="shared" si="39"/>
        <v>n/a</v>
      </c>
      <c r="BT48" s="161">
        <f t="shared" si="40"/>
        <v>0.00997945260345383</v>
      </c>
      <c r="BU48" s="161">
        <f t="shared" si="41"/>
        <v>0.08164611927012051</v>
      </c>
      <c r="BV48" s="163" t="str">
        <f t="shared" si="42"/>
        <v>Unless otherwise stated, covers concentrations up to 50% [ConsOC1]; covers use up to 11 days/year[ConsOC3]; covers use up to 1 time/on day of use[ConsOC4]; covers skin contact area up to 430,00 cm2 [ConsOC5]; for each use event, covers use amounts up to 56g [ConsOC2]; covers use under typical household ventilation [ConsOC8]; covers use in room size of 20m3[ConsOC11]; for each use event, covers exposure up to 0,33hr/event[ConsOC14]; </v>
      </c>
      <c r="BW48" s="126" t="str">
        <f t="shared" si="43"/>
        <v>No specific RMMs identified beyond those OCs stated</v>
      </c>
      <c r="BX48" s="125" t="str">
        <f t="shared" si="44"/>
        <v>Based upon infrequent use (&lt;365 days/yr)</v>
      </c>
      <c r="BY48" s="120">
        <f t="shared" si="45"/>
        <v>0.07166666666666668</v>
      </c>
      <c r="BZ48" s="120" t="str">
        <f t="shared" si="46"/>
        <v>n/a</v>
      </c>
      <c r="CA48" s="120">
        <f t="shared" si="47"/>
        <v>0.00997945260345383</v>
      </c>
      <c r="CB48" s="164">
        <f t="shared" si="48"/>
        <v>0.08164611927012051</v>
      </c>
      <c r="CC48" s="120">
        <f t="shared" si="49"/>
        <v>5</v>
      </c>
      <c r="CD48" s="120" t="str">
        <f t="shared" si="50"/>
        <v>n/a</v>
      </c>
      <c r="CE48" s="159">
        <f t="shared" si="51"/>
        <v>0.6985616822417681</v>
      </c>
      <c r="CF48" s="138"/>
      <c r="CG48" s="226" t="str">
        <f t="shared" si="135"/>
        <v>PC23_n: Leather tanning, dye, finishing, impregnation and care products</v>
      </c>
      <c r="CH48" s="227" t="str">
        <f t="shared" si="136"/>
        <v>Polishes, spray (furniture, shoes)</v>
      </c>
      <c r="CI48" s="120">
        <f t="shared" si="52"/>
        <v>1.4333333333333338</v>
      </c>
      <c r="CJ48" s="120" t="str">
        <f t="shared" si="53"/>
        <v>n/a</v>
      </c>
      <c r="CK48" s="120">
        <f t="shared" si="54"/>
        <v>0.6985616822417681</v>
      </c>
      <c r="CL48" s="124"/>
      <c r="CM48" s="165">
        <f t="shared" si="55"/>
        <v>14.333333333333337</v>
      </c>
      <c r="CN48" s="165" t="str">
        <f t="shared" si="56"/>
        <v>n/a</v>
      </c>
      <c r="CO48" s="165">
        <f t="shared" si="57"/>
        <v>1.3971233644835361</v>
      </c>
      <c r="CP48" s="598">
        <f>IF(SUM(CM48:CO48)&lt;$BZ$4,"",adjustparameter($AB48,0.01,SUM(CM48,CN48,CO48)/$AB48,$BZ$4))</f>
        <v>0.02860692531974946</v>
      </c>
      <c r="CQ48" s="166">
        <f t="shared" si="58"/>
        <v>0.9427861493605011</v>
      </c>
      <c r="CR48" s="599">
        <f>IF($CK48="n/a","",IF(SUM(CM48:CO48)&lt;$BZ$4,"",adjustparameter($AO48,0.5*$AO48,SUM(SUM(CO48)*CP48/$AB48/$AO48),($BZ$4-SUM(CM48:CN48)*CP48/$AB48))))</f>
        <v>55.99999999999995</v>
      </c>
      <c r="CS48" s="166">
        <f t="shared" si="59"/>
        <v>8.881784197001252E-16</v>
      </c>
      <c r="CT48" s="124"/>
      <c r="CU48" s="166">
        <f t="shared" si="60"/>
      </c>
      <c r="CV48" s="124"/>
      <c r="CW48" s="166">
        <f t="shared" si="61"/>
      </c>
      <c r="CX48" s="595">
        <f t="shared" si="62"/>
      </c>
      <c r="CY48" s="165">
        <f>IF(CX48="","",VLOOKUP(CX48,Picklist!$C$2:$E$5,3))</f>
      </c>
      <c r="CZ48" s="594">
        <f t="shared" si="63"/>
      </c>
      <c r="DA48" s="165"/>
      <c r="DB48" s="166">
        <f t="shared" si="64"/>
      </c>
      <c r="DC48" s="165">
        <f t="shared" si="65"/>
        <v>0.08200651924994846</v>
      </c>
      <c r="DD48" s="165" t="str">
        <f t="shared" si="66"/>
        <v>n/a</v>
      </c>
      <c r="DE48" s="165">
        <f t="shared" si="67"/>
        <v>0.039967403750257584</v>
      </c>
      <c r="DF48" s="165">
        <f t="shared" si="68"/>
        <v>0.004100325962497423</v>
      </c>
      <c r="DG48" s="165" t="str">
        <f t="shared" si="69"/>
        <v>n/a</v>
      </c>
      <c r="DH48" s="165">
        <f t="shared" si="70"/>
        <v>0.0005709629107179655</v>
      </c>
      <c r="DI48" s="167">
        <f t="shared" si="71"/>
        <v>0.004671288873215389</v>
      </c>
      <c r="DJ48" s="165">
        <f t="shared" si="72"/>
        <v>0.8200651924994848</v>
      </c>
      <c r="DK48" s="165" t="str">
        <f t="shared" si="148"/>
        <v>n/a</v>
      </c>
      <c r="DL48" s="165">
        <f t="shared" si="73"/>
        <v>0.07993480750051518</v>
      </c>
      <c r="DM48" s="168">
        <f t="shared" si="74"/>
        <v>0.9</v>
      </c>
      <c r="DN48" s="169"/>
      <c r="DO48" s="165">
        <f t="shared" si="75"/>
        <v>1.4333333333333338</v>
      </c>
      <c r="DP48" s="165" t="str">
        <f t="shared" si="76"/>
        <v>n/a</v>
      </c>
      <c r="DQ48" s="165">
        <f t="shared" si="77"/>
        <v>0.13971233644835362</v>
      </c>
      <c r="DR48" s="598">
        <f>IF(SUM(DO48:DQ48)&lt;$BZ$4,"",adjustparameter($AB48,0.01,SUM(DO48,DP48,DQ48)/$AB48,$BZ$4))</f>
        <v>0.2860692531974946</v>
      </c>
      <c r="DS48" s="166">
        <f t="shared" si="78"/>
        <v>0.4278614936050108</v>
      </c>
      <c r="DT48" s="597">
        <f>IF($CK48="n/a","",IF(SUM(DO48:DQ48)&lt;$BZ$4,"",adjustparameter($AO48,0.5*$AO48,SUM(SUM(DQ48)*DR48/$AB48/$AO48),($BZ$4-SUM(DO48:DP48)*DR48/$AB48))))</f>
      </c>
      <c r="DU48" s="166">
        <f t="shared" si="8"/>
      </c>
      <c r="DV48" s="124"/>
      <c r="DW48" s="166">
        <f t="shared" si="79"/>
      </c>
      <c r="DX48" s="124"/>
      <c r="DY48" s="166">
        <f t="shared" si="80"/>
      </c>
      <c r="DZ48" s="595">
        <f t="shared" si="81"/>
      </c>
      <c r="EA48" s="165">
        <f>IF(DZ48="","",VLOOKUP(DZ48,Picklist!$C$2:$E$5,3))</f>
      </c>
      <c r="EB48" s="594">
        <f t="shared" si="82"/>
      </c>
      <c r="EC48" s="165"/>
      <c r="ED48" s="166">
        <f t="shared" si="83"/>
      </c>
      <c r="EE48" s="593">
        <f t="shared" si="84"/>
        <v>0.8200651924994847</v>
      </c>
      <c r="EF48" s="594" t="str">
        <f t="shared" si="85"/>
        <v>n/a</v>
      </c>
      <c r="EG48" s="594">
        <f t="shared" si="86"/>
        <v>0.39967403750257624</v>
      </c>
      <c r="EH48" s="165">
        <f t="shared" si="87"/>
        <v>0.04100325962497424</v>
      </c>
      <c r="EI48" s="165" t="str">
        <f t="shared" si="88"/>
        <v>n/a</v>
      </c>
      <c r="EJ48" s="165">
        <f t="shared" si="89"/>
        <v>0.005709629107179661</v>
      </c>
      <c r="EK48" s="167">
        <f t="shared" si="90"/>
        <v>0.0467128887321539</v>
      </c>
      <c r="EL48" s="165">
        <f t="shared" si="91"/>
        <v>0.8200651924994847</v>
      </c>
      <c r="EM48" s="165" t="str">
        <f t="shared" si="149"/>
        <v>n/a</v>
      </c>
      <c r="EN48" s="165">
        <f t="shared" si="92"/>
        <v>0.07993480750051525</v>
      </c>
      <c r="EO48" s="168">
        <f t="shared" si="93"/>
        <v>0.9</v>
      </c>
      <c r="EP48" s="169"/>
      <c r="EQ48" s="165">
        <f t="shared" si="94"/>
        <v>0.28666666666666674</v>
      </c>
      <c r="ER48" s="165" t="str">
        <f t="shared" si="95"/>
        <v>n/a</v>
      </c>
      <c r="ES48" s="165">
        <f t="shared" si="96"/>
        <v>0.027942467289670724</v>
      </c>
      <c r="ET48" s="596">
        <f>IF(SUM(EQ48:ES48)&lt;$BZ$4,"",adjustparameter($AB48,0.01,SUM(EQ48,ER48,ES48)/$AB48,$BZ$4))</f>
      </c>
      <c r="EU48" s="166">
        <f t="shared" si="97"/>
      </c>
      <c r="EV48" s="597">
        <f>IF($CK48="n/a","",IF(SUM(EQ48:ES48)&lt;$BZ$4,"",adjustparameter($AO48,0.5*$AO48,SUM(SUM(ES48)*ET48/$AB48/$AO48),($BZ$4-SUM(EQ48:ER48)*ET48/$AB48))))</f>
      </c>
      <c r="EW48" s="166">
        <f t="shared" si="98"/>
      </c>
      <c r="EX48" s="124"/>
      <c r="EY48" s="166">
        <f t="shared" si="99"/>
      </c>
      <c r="EZ48" s="124"/>
      <c r="FA48" s="166">
        <f t="shared" si="100"/>
      </c>
      <c r="FB48" s="595">
        <f t="shared" si="101"/>
      </c>
      <c r="FC48" s="165">
        <f>IF(FB48="","",VLOOKUP(FB48,Picklist!$C$2:$E$5,3))</f>
      </c>
      <c r="FD48" s="594">
        <f t="shared" si="102"/>
      </c>
      <c r="FE48" s="165"/>
      <c r="FF48" s="166">
        <f t="shared" si="10"/>
      </c>
      <c r="FG48" s="593">
        <f t="shared" si="103"/>
        <v>1.4333333333333338</v>
      </c>
      <c r="FH48" s="594" t="str">
        <f t="shared" si="104"/>
        <v>n/a</v>
      </c>
      <c r="FI48" s="594">
        <f t="shared" si="105"/>
        <v>0.6985616822417681</v>
      </c>
      <c r="FJ48" s="165">
        <f t="shared" si="106"/>
        <v>0.07166666666666668</v>
      </c>
      <c r="FK48" s="165" t="str">
        <f t="shared" si="107"/>
        <v>n/a</v>
      </c>
      <c r="FL48" s="165">
        <f t="shared" si="108"/>
        <v>0.00997945260345383</v>
      </c>
      <c r="FM48" s="167">
        <f t="shared" si="109"/>
        <v>0.08164611927012051</v>
      </c>
      <c r="FN48" s="165">
        <f t="shared" si="110"/>
        <v>0.28666666666666674</v>
      </c>
      <c r="FO48" s="165" t="str">
        <f t="shared" si="150"/>
        <v>n/a</v>
      </c>
      <c r="FP48" s="165">
        <f t="shared" si="111"/>
        <v>0.027942467289670724</v>
      </c>
      <c r="FQ48" s="168">
        <f t="shared" si="112"/>
        <v>0.31460913395633744</v>
      </c>
      <c r="FR48" s="169"/>
      <c r="FS48" s="165">
        <f t="shared" si="113"/>
        <v>0.07166666666666668</v>
      </c>
      <c r="FT48" s="165" t="str">
        <f t="shared" si="114"/>
        <v>n/a</v>
      </c>
      <c r="FU48" s="165">
        <f t="shared" si="115"/>
        <v>0.006985616822417681</v>
      </c>
      <c r="FV48" s="596">
        <f>IF(SUM(FS48:FU48)&lt;$BZ$4,"",adjustparameter($AB48,0.01,SUM(FS48,FT48,FU48)/$AB48,$BZ$4))</f>
      </c>
      <c r="FW48" s="166">
        <f t="shared" si="116"/>
      </c>
      <c r="FX48" s="597">
        <f>IF($CK48="n/a","",IF(SUM(FS48:FU48)&lt;$BZ$4,"",adjustparameter($AO48,0.5*$AO48,SUM(SUM(FU48)*FV48/$AB48/$AO48),($BZ$4-SUM(FS48:FT48)*FV48/$AB48))))</f>
      </c>
      <c r="FY48" s="166">
        <f t="shared" si="117"/>
      </c>
      <c r="FZ48" s="124"/>
      <c r="GA48" s="166">
        <f t="shared" si="118"/>
      </c>
      <c r="GB48" s="124"/>
      <c r="GC48" s="166">
        <f t="shared" si="119"/>
      </c>
      <c r="GD48" s="595">
        <f t="shared" si="120"/>
      </c>
      <c r="GE48" s="165">
        <f>IF(GD48="","",VLOOKUP(GD48,Picklist!$C$2:$E$5,3))</f>
      </c>
      <c r="GF48" s="594">
        <f t="shared" si="121"/>
      </c>
      <c r="GG48" s="165"/>
      <c r="GH48" s="166">
        <f t="shared" si="12"/>
      </c>
      <c r="GI48" s="593">
        <f t="shared" si="122"/>
        <v>1.4333333333333338</v>
      </c>
      <c r="GJ48" s="594" t="str">
        <f t="shared" si="123"/>
        <v>n/a</v>
      </c>
      <c r="GK48" s="594">
        <f t="shared" si="124"/>
        <v>0.6985616822417681</v>
      </c>
      <c r="GL48" s="165">
        <f t="shared" si="125"/>
        <v>0.07166666666666668</v>
      </c>
      <c r="GM48" s="165" t="str">
        <f t="shared" si="126"/>
        <v>n/a</v>
      </c>
      <c r="GN48" s="165">
        <f t="shared" si="127"/>
        <v>0.00997945260345383</v>
      </c>
      <c r="GO48" s="167">
        <f t="shared" si="128"/>
        <v>0.08164611927012051</v>
      </c>
      <c r="GP48" s="165">
        <f t="shared" si="129"/>
        <v>0.07166666666666668</v>
      </c>
      <c r="GQ48" s="165" t="str">
        <f t="shared" si="151"/>
        <v>n/a</v>
      </c>
      <c r="GR48" s="165">
        <f t="shared" si="130"/>
        <v>0.006985616822417681</v>
      </c>
      <c r="GS48" s="170">
        <f t="shared" si="131"/>
        <v>0.07865228348908436</v>
      </c>
      <c r="GT48" s="139"/>
      <c r="GU48" s="139"/>
      <c r="GV48" s="139"/>
      <c r="GW48" s="139"/>
      <c r="GX48" s="139"/>
      <c r="GY48" s="139"/>
      <c r="GZ48" s="139"/>
      <c r="HA48" s="139"/>
      <c r="HB48" s="139"/>
      <c r="HC48" s="139"/>
      <c r="HD48" s="139"/>
      <c r="HE48" s="139"/>
      <c r="HF48" s="139"/>
      <c r="HG48" s="139"/>
      <c r="HH48" s="139"/>
      <c r="HI48" s="139"/>
      <c r="HJ48" s="139"/>
      <c r="HK48" s="139"/>
      <c r="HL48" s="139"/>
      <c r="HM48" s="139"/>
      <c r="HN48" s="139"/>
      <c r="HO48" s="139"/>
      <c r="HP48" s="139"/>
      <c r="HQ48" s="139"/>
      <c r="HR48" s="139"/>
      <c r="HS48" s="139"/>
      <c r="HT48" s="139"/>
      <c r="HU48" s="139"/>
      <c r="HV48" s="139"/>
      <c r="HW48" s="139"/>
      <c r="HX48" s="139"/>
      <c r="HY48" s="139"/>
      <c r="HZ48" s="139"/>
      <c r="IA48" s="139"/>
      <c r="IB48" s="139"/>
      <c r="IC48" s="139"/>
      <c r="ID48" s="139"/>
      <c r="IE48" s="139"/>
      <c r="IF48" s="139"/>
      <c r="IG48" s="139"/>
      <c r="IH48" s="139"/>
      <c r="II48" s="139"/>
      <c r="IJ48" s="139"/>
      <c r="IK48" s="139"/>
      <c r="IL48" s="139"/>
      <c r="IM48" s="139"/>
      <c r="IN48" s="139"/>
    </row>
    <row r="49" spans="1:201" s="139" customFormat="1" ht="132">
      <c r="A49" s="144"/>
      <c r="B49" s="241"/>
      <c r="C49" s="172" t="s">
        <v>387</v>
      </c>
      <c r="D49" s="247" t="s">
        <v>447</v>
      </c>
      <c r="E49" s="173" t="s">
        <v>451</v>
      </c>
      <c r="F49" s="179">
        <v>0.5</v>
      </c>
      <c r="G49" s="121" t="s">
        <v>388</v>
      </c>
      <c r="H49" s="121"/>
      <c r="I49" s="121" t="s">
        <v>388</v>
      </c>
      <c r="J49" s="121" t="s">
        <v>139</v>
      </c>
      <c r="K49" s="121">
        <v>1</v>
      </c>
      <c r="L49" s="121">
        <v>857.5</v>
      </c>
      <c r="M49" s="121"/>
      <c r="N49" s="121">
        <v>5000</v>
      </c>
      <c r="O49" s="121">
        <v>20</v>
      </c>
      <c r="P49" s="176">
        <v>4</v>
      </c>
      <c r="Q49" s="151">
        <f t="shared" si="14"/>
        <v>71.45833333333334</v>
      </c>
      <c r="R49" s="132" t="str">
        <f t="shared" si="15"/>
        <v>n/a</v>
      </c>
      <c r="S49" s="143">
        <f t="shared" si="16"/>
        <v>11416.666666666668</v>
      </c>
      <c r="T49" s="143">
        <f t="shared" si="17"/>
        <v>125000</v>
      </c>
      <c r="U49" s="143">
        <f t="shared" si="18"/>
        <v>125000</v>
      </c>
      <c r="V49" s="152">
        <f t="shared" si="19"/>
        <v>11488.125000000002</v>
      </c>
      <c r="W49" s="153">
        <f t="shared" si="20"/>
        <v>3.572916666666667</v>
      </c>
      <c r="X49" s="154" t="str">
        <f t="shared" si="21"/>
        <v>n/a</v>
      </c>
      <c r="Y49" s="154" t="str">
        <f t="shared" si="22"/>
        <v>n/a</v>
      </c>
      <c r="Z49" s="154">
        <f t="shared" si="23"/>
        <v>1785.7142857142858</v>
      </c>
      <c r="AA49" s="155">
        <f t="shared" si="24"/>
        <v>1789.2872023809525</v>
      </c>
      <c r="AB49" s="92">
        <v>1</v>
      </c>
      <c r="AC49" s="88" t="s">
        <v>229</v>
      </c>
      <c r="AD49" s="156">
        <v>0.04</v>
      </c>
      <c r="AE49" s="134" t="s">
        <v>648</v>
      </c>
      <c r="AF49" s="575">
        <f>7.8*60</f>
        <v>468</v>
      </c>
      <c r="AG49" s="204" t="s">
        <v>445</v>
      </c>
      <c r="AH49" s="302"/>
      <c r="AI49" s="302"/>
      <c r="AJ49" s="304"/>
      <c r="AK49" s="304"/>
      <c r="AL49" s="204"/>
      <c r="AM49" s="87"/>
      <c r="AN49" s="120"/>
      <c r="AO49" s="87">
        <v>2200</v>
      </c>
      <c r="AP49" s="99" t="s">
        <v>231</v>
      </c>
      <c r="AQ49" s="314">
        <v>0.01</v>
      </c>
      <c r="AR49" s="99" t="s">
        <v>230</v>
      </c>
      <c r="AS49" s="118" t="s">
        <v>498</v>
      </c>
      <c r="AT49" s="120">
        <f t="shared" si="25"/>
        <v>1.5</v>
      </c>
      <c r="AU49" s="131" t="str">
        <f t="shared" si="139"/>
        <v>RIVM  general fact sheet</v>
      </c>
      <c r="AV49" s="131">
        <f t="shared" si="140"/>
        <v>0.8826804001526236</v>
      </c>
      <c r="AW49" s="156">
        <f>IF(OR(AS49="indoor, typical",AS49="indoor, ventilation",AS49="indoor, active ventilation"),20,IF(AS49="garage",34,IF(AS49="outdoor",100,"")))</f>
        <v>34</v>
      </c>
      <c r="AX49" s="156" t="str">
        <f t="shared" si="138"/>
        <v>RIVM general fact sheet</v>
      </c>
      <c r="AY49" s="164">
        <v>0.17</v>
      </c>
      <c r="AZ49" s="192" t="s">
        <v>441</v>
      </c>
      <c r="BA49" s="125">
        <f t="shared" si="141"/>
        <v>78</v>
      </c>
      <c r="BB49" s="125">
        <f t="shared" si="142"/>
        <v>3.12</v>
      </c>
      <c r="BC49" s="120">
        <f t="shared" si="143"/>
        <v>10</v>
      </c>
      <c r="BD49" s="120" t="str">
        <f t="shared" si="144"/>
        <v>n/a</v>
      </c>
      <c r="BE49" s="120" t="str">
        <f t="shared" si="145"/>
        <v>n/a</v>
      </c>
      <c r="BF49" s="120">
        <f t="shared" si="146"/>
        <v>2.21699893838334</v>
      </c>
      <c r="BG49" s="120">
        <f t="shared" si="28"/>
        <v>571.1461412752271</v>
      </c>
      <c r="BH49" s="120">
        <f t="shared" si="29"/>
      </c>
      <c r="BI49" s="120">
        <f t="shared" si="147"/>
        <v>4.0456185006995256</v>
      </c>
      <c r="BJ49" s="158">
        <f t="shared" si="30"/>
        <v>0.16182474002798103</v>
      </c>
      <c r="BK49" s="159">
        <f t="shared" si="31"/>
        <v>80.21699893838334</v>
      </c>
      <c r="BL49" s="160" t="str">
        <f t="shared" si="32"/>
        <v>n/a</v>
      </c>
      <c r="BM49" s="161" t="str">
        <f t="shared" si="33"/>
        <v>n/a</v>
      </c>
      <c r="BN49" s="161">
        <f t="shared" si="34"/>
        <v>3.9</v>
      </c>
      <c r="BO49" s="162" t="str">
        <f t="shared" si="35"/>
        <v>n/a</v>
      </c>
      <c r="BP49" s="161">
        <f t="shared" si="36"/>
        <v>0.05779455000999322</v>
      </c>
      <c r="BQ49" s="162">
        <f t="shared" si="37"/>
        <v>3.957794550009993</v>
      </c>
      <c r="BR49" s="161">
        <f t="shared" si="38"/>
        <v>0.156</v>
      </c>
      <c r="BS49" s="161" t="str">
        <f t="shared" si="39"/>
        <v>n/a</v>
      </c>
      <c r="BT49" s="161">
        <f t="shared" si="40"/>
        <v>0.002311782000399729</v>
      </c>
      <c r="BU49" s="161">
        <f t="shared" si="41"/>
        <v>0.15831178200039972</v>
      </c>
      <c r="BV49" s="163" t="str">
        <f t="shared" si="42"/>
        <v>Unless otherwise stated, covers concentrations up to 100% [ConsOC1]; covers use up to 11 days/year[ConsOC3]; covers use up to 1 time/on day of use[ConsOC4]; covers skin contact area up to 468,00 cm2 [ConsOC5]; for each use event, covers use amounts up to 2200g [ConsOC2]; Covers use in a one car garage (34m3) under typcial ventilation [ConsOC10]; covers use in room size of 34m3[ConsOC11]; for each use event, covers exposure up to 0,17hr/event[ConsOC14]; </v>
      </c>
      <c r="BW49" s="126" t="str">
        <f t="shared" si="43"/>
        <v>No specific RMMs identified beyond those OCs stated</v>
      </c>
      <c r="BX49" s="125" t="str">
        <f t="shared" si="44"/>
        <v>Based upon infrequent use (&lt;365 days/yr)</v>
      </c>
      <c r="BY49" s="120">
        <f t="shared" si="45"/>
        <v>0.156</v>
      </c>
      <c r="BZ49" s="120" t="str">
        <f t="shared" si="46"/>
        <v>n/a</v>
      </c>
      <c r="CA49" s="120">
        <f t="shared" si="47"/>
        <v>0.002311782000399729</v>
      </c>
      <c r="CB49" s="164">
        <f t="shared" si="48"/>
        <v>0.15831178200039972</v>
      </c>
      <c r="CC49" s="120">
        <f t="shared" si="49"/>
        <v>10</v>
      </c>
      <c r="CD49" s="120" t="str">
        <f t="shared" si="50"/>
        <v>n/a</v>
      </c>
      <c r="CE49" s="159">
        <f t="shared" si="51"/>
        <v>0.16182474002798103</v>
      </c>
      <c r="CF49" s="138"/>
      <c r="CG49" s="145" t="str">
        <f t="shared" si="135"/>
        <v>PC24: Lubricants, greases, and release products</v>
      </c>
      <c r="CH49" s="118" t="str">
        <f t="shared" si="136"/>
        <v>Liquids</v>
      </c>
      <c r="CI49" s="120">
        <f t="shared" si="52"/>
        <v>3.12</v>
      </c>
      <c r="CJ49" s="120" t="str">
        <f t="shared" si="53"/>
        <v>n/a</v>
      </c>
      <c r="CK49" s="120">
        <f t="shared" si="54"/>
        <v>0.16182474002798103</v>
      </c>
      <c r="CL49" s="165"/>
      <c r="CM49" s="165">
        <f t="shared" si="55"/>
        <v>31.2</v>
      </c>
      <c r="CN49" s="165" t="str">
        <f t="shared" si="56"/>
        <v>n/a</v>
      </c>
      <c r="CO49" s="165">
        <f t="shared" si="57"/>
        <v>0.32364948005596206</v>
      </c>
      <c r="CP49" s="598">
        <f>IF(SUM(CM49:CO49)&lt;$BZ$4,"",adjustparameter($AB49,0.01,SUM(CM49,CN49,CO49)/$AB49,$BZ$4))</f>
        <v>0.028549993888537625</v>
      </c>
      <c r="CQ49" s="166">
        <f t="shared" si="58"/>
        <v>0.9714500061114624</v>
      </c>
      <c r="CR49" s="599">
        <f>IF($CK49="n/a","",IF(SUM(CM49:CO49)&lt;$BZ$4,"",adjustparameter($AO49,0.5*$AO49,SUM(SUM(CO49)*CP49/$AB49/$AO49),($BZ$4-SUM(CM49:CN49)*CP49/$AB49))))</f>
      </c>
      <c r="CS49" s="166">
        <f t="shared" si="59"/>
      </c>
      <c r="CT49" s="165"/>
      <c r="CU49" s="166">
        <f t="shared" si="60"/>
      </c>
      <c r="CV49" s="124"/>
      <c r="CW49" s="166">
        <f t="shared" si="61"/>
      </c>
      <c r="CX49" s="595">
        <f t="shared" si="62"/>
      </c>
      <c r="CY49" s="165">
        <f>IF(CX49="","",VLOOKUP(CX49,Picklist!$C$2:$E$5,3))</f>
      </c>
      <c r="CZ49" s="594">
        <f t="shared" si="63"/>
      </c>
      <c r="DA49" s="165"/>
      <c r="DB49" s="166">
        <f t="shared" si="64"/>
      </c>
      <c r="DC49" s="165">
        <f t="shared" si="65"/>
        <v>0.0890759809322374</v>
      </c>
      <c r="DD49" s="165" t="str">
        <f t="shared" si="66"/>
        <v>n/a</v>
      </c>
      <c r="DE49" s="165">
        <f t="shared" si="67"/>
        <v>0.004620095338813049</v>
      </c>
      <c r="DF49" s="165">
        <f t="shared" si="68"/>
        <v>0.00445379904661187</v>
      </c>
      <c r="DG49" s="165" t="str">
        <f t="shared" si="69"/>
        <v>n/a</v>
      </c>
      <c r="DH49" s="165">
        <f t="shared" si="70"/>
        <v>6.600136198304356E-05</v>
      </c>
      <c r="DI49" s="167">
        <f t="shared" si="71"/>
        <v>0.004519800408594914</v>
      </c>
      <c r="DJ49" s="165">
        <f t="shared" si="72"/>
        <v>0.8907598093223739</v>
      </c>
      <c r="DK49" s="165" t="str">
        <f t="shared" si="148"/>
        <v>n/a</v>
      </c>
      <c r="DL49" s="165">
        <f t="shared" si="73"/>
        <v>0.009240190677626096</v>
      </c>
      <c r="DM49" s="168">
        <f t="shared" si="74"/>
        <v>0.8999999999999999</v>
      </c>
      <c r="DN49" s="185"/>
      <c r="DO49" s="165">
        <f t="shared" si="75"/>
        <v>3.12</v>
      </c>
      <c r="DP49" s="165" t="str">
        <f t="shared" si="76"/>
        <v>n/a</v>
      </c>
      <c r="DQ49" s="165">
        <f t="shared" si="77"/>
        <v>0.03236494800559621</v>
      </c>
      <c r="DR49" s="598">
        <f>IF(SUM(DO49:DQ49)&lt;$BZ$4,"",adjustparameter($AB49,0.01,SUM(DO49,DP49,DQ49)/$AB49,$BZ$4))</f>
        <v>0.2854999388853763</v>
      </c>
      <c r="DS49" s="166">
        <f t="shared" si="78"/>
        <v>0.7145000611146237</v>
      </c>
      <c r="DT49" s="597">
        <f>IF($CK49="n/a","",IF(SUM(DO49:DQ49)&lt;$BZ$4,"",adjustparameter($AO49,0.5*$AO49,SUM(SUM(DQ49)*DR49/$AB49/$AO49),($BZ$4-SUM(DO49:DP49)*DR49/$AB49))))</f>
        <v>2199.999999999988</v>
      </c>
      <c r="DU49" s="166">
        <f t="shared" si="8"/>
        <v>5.374286874112758E-15</v>
      </c>
      <c r="DV49" s="165"/>
      <c r="DW49" s="166">
        <f t="shared" si="79"/>
      </c>
      <c r="DX49" s="165"/>
      <c r="DY49" s="166">
        <f t="shared" si="80"/>
      </c>
      <c r="DZ49" s="595">
        <f t="shared" si="81"/>
      </c>
      <c r="EA49" s="165">
        <f>IF(DZ49="","",VLOOKUP(DZ49,Picklist!$C$2:$E$5,3))</f>
      </c>
      <c r="EB49" s="594">
        <f t="shared" si="82"/>
      </c>
      <c r="EC49" s="165"/>
      <c r="ED49" s="166">
        <f t="shared" si="83"/>
      </c>
      <c r="EE49" s="593">
        <f t="shared" si="84"/>
        <v>0.890759809322374</v>
      </c>
      <c r="EF49" s="594" t="str">
        <f t="shared" si="85"/>
        <v>n/a</v>
      </c>
      <c r="EG49" s="594">
        <f t="shared" si="86"/>
        <v>0.046200953388130246</v>
      </c>
      <c r="EH49" s="165">
        <f t="shared" si="87"/>
        <v>0.0445379904661187</v>
      </c>
      <c r="EI49" s="165" t="str">
        <f t="shared" si="88"/>
        <v>n/a</v>
      </c>
      <c r="EJ49" s="165">
        <f t="shared" si="89"/>
        <v>0.0006600136198304321</v>
      </c>
      <c r="EK49" s="167">
        <f t="shared" si="90"/>
        <v>0.04519800408594913</v>
      </c>
      <c r="EL49" s="165">
        <f t="shared" si="91"/>
        <v>0.890759809322374</v>
      </c>
      <c r="EM49" s="165" t="str">
        <f t="shared" si="149"/>
        <v>n/a</v>
      </c>
      <c r="EN49" s="165">
        <f t="shared" si="92"/>
        <v>0.00924019067762605</v>
      </c>
      <c r="EO49" s="168">
        <f t="shared" si="93"/>
        <v>0.9</v>
      </c>
      <c r="EP49" s="185"/>
      <c r="EQ49" s="165">
        <f t="shared" si="94"/>
        <v>0.624</v>
      </c>
      <c r="ER49" s="165" t="str">
        <f t="shared" si="95"/>
        <v>n/a</v>
      </c>
      <c r="ES49" s="165">
        <f t="shared" si="96"/>
        <v>0.006472989601119241</v>
      </c>
      <c r="ET49" s="596">
        <f>IF(SUM(EQ49:ES49)&lt;$BZ$4,"",adjustparameter($AB49,0.01,SUM(EQ49,ER49,ES49)/$AB49,$BZ$4))</f>
      </c>
      <c r="EU49" s="166">
        <f t="shared" si="97"/>
      </c>
      <c r="EV49" s="597">
        <f>IF($CK49="n/a","",IF(SUM(EQ49:ES49)&lt;$BZ$4,"",adjustparameter($AO49,0.5*$AO49,SUM(SUM(ES49)*ET49/$AB49/$AO49),($BZ$4-SUM(EQ49:ER49)*ET49/$AB49))))</f>
      </c>
      <c r="EW49" s="166">
        <f t="shared" si="98"/>
      </c>
      <c r="EX49" s="165"/>
      <c r="EY49" s="166">
        <f t="shared" si="99"/>
      </c>
      <c r="EZ49" s="217"/>
      <c r="FA49" s="166">
        <f t="shared" si="100"/>
      </c>
      <c r="FB49" s="595">
        <f t="shared" si="101"/>
      </c>
      <c r="FC49" s="165">
        <f>IF(FB49="","",VLOOKUP(FB49,Picklist!$C$2:$E$5,3))</f>
      </c>
      <c r="FD49" s="594">
        <f t="shared" si="102"/>
      </c>
      <c r="FE49" s="165"/>
      <c r="FF49" s="166">
        <f t="shared" si="10"/>
      </c>
      <c r="FG49" s="593">
        <f t="shared" si="103"/>
        <v>3.12</v>
      </c>
      <c r="FH49" s="594" t="str">
        <f t="shared" si="104"/>
        <v>n/a</v>
      </c>
      <c r="FI49" s="594">
        <f t="shared" si="105"/>
        <v>0.16182474002798103</v>
      </c>
      <c r="FJ49" s="165">
        <f t="shared" si="106"/>
        <v>0.156</v>
      </c>
      <c r="FK49" s="165" t="str">
        <f t="shared" si="107"/>
        <v>n/a</v>
      </c>
      <c r="FL49" s="165">
        <f t="shared" si="108"/>
        <v>0.002311782000399729</v>
      </c>
      <c r="FM49" s="167">
        <f t="shared" si="109"/>
        <v>0.15831178200039972</v>
      </c>
      <c r="FN49" s="165">
        <f t="shared" si="110"/>
        <v>0.624</v>
      </c>
      <c r="FO49" s="165" t="str">
        <f t="shared" si="150"/>
        <v>n/a</v>
      </c>
      <c r="FP49" s="165">
        <f t="shared" si="111"/>
        <v>0.006472989601119241</v>
      </c>
      <c r="FQ49" s="168">
        <f t="shared" si="112"/>
        <v>0.6304729896011192</v>
      </c>
      <c r="FR49" s="185"/>
      <c r="FS49" s="165">
        <f t="shared" si="113"/>
        <v>0.156</v>
      </c>
      <c r="FT49" s="165" t="str">
        <f t="shared" si="114"/>
        <v>n/a</v>
      </c>
      <c r="FU49" s="165">
        <f t="shared" si="115"/>
        <v>0.0016182474002798103</v>
      </c>
      <c r="FV49" s="596">
        <f>IF(SUM(FS49:FU49)&lt;$BZ$4,"",adjustparameter($AB49,0.01,SUM(FS49,FT49,FU49)/$AB49,$BZ$4))</f>
      </c>
      <c r="FW49" s="166">
        <f t="shared" si="116"/>
      </c>
      <c r="FX49" s="597">
        <f>IF($CK49="n/a","",IF(SUM(FS49:FU49)&lt;$BZ$4,"",adjustparameter($AO49,0.5*$AO49,SUM(SUM(FU49)*FV49/$AB49/$AO49),($BZ$4-SUM(FS49:FT49)*FV49/$AB49))))</f>
      </c>
      <c r="FY49" s="166">
        <f t="shared" si="117"/>
      </c>
      <c r="FZ49" s="165"/>
      <c r="GA49" s="166">
        <f t="shared" si="118"/>
      </c>
      <c r="GB49" s="165"/>
      <c r="GC49" s="166">
        <f t="shared" si="119"/>
      </c>
      <c r="GD49" s="595">
        <f t="shared" si="120"/>
      </c>
      <c r="GE49" s="165">
        <f>IF(GD49="","",VLOOKUP(GD49,Picklist!$C$2:$E$5,3))</f>
      </c>
      <c r="GF49" s="594">
        <f t="shared" si="121"/>
      </c>
      <c r="GG49" s="165"/>
      <c r="GH49" s="166">
        <f t="shared" si="12"/>
      </c>
      <c r="GI49" s="593">
        <f t="shared" si="122"/>
        <v>3.12</v>
      </c>
      <c r="GJ49" s="594" t="str">
        <f t="shared" si="123"/>
        <v>n/a</v>
      </c>
      <c r="GK49" s="594">
        <f t="shared" si="124"/>
        <v>0.16182474002798103</v>
      </c>
      <c r="GL49" s="165">
        <f t="shared" si="125"/>
        <v>0.156</v>
      </c>
      <c r="GM49" s="165" t="str">
        <f t="shared" si="126"/>
        <v>n/a</v>
      </c>
      <c r="GN49" s="165">
        <f t="shared" si="127"/>
        <v>0.002311782000399729</v>
      </c>
      <c r="GO49" s="167">
        <f t="shared" si="128"/>
        <v>0.15831178200039972</v>
      </c>
      <c r="GP49" s="165">
        <f t="shared" si="129"/>
        <v>0.156</v>
      </c>
      <c r="GQ49" s="165" t="str">
        <f t="shared" si="151"/>
        <v>n/a</v>
      </c>
      <c r="GR49" s="165">
        <f t="shared" si="130"/>
        <v>0.0016182474002798103</v>
      </c>
      <c r="GS49" s="170">
        <f t="shared" si="131"/>
        <v>0.1576182474002798</v>
      </c>
    </row>
    <row r="50" spans="1:201" s="139" customFormat="1" ht="78.75">
      <c r="A50" s="144"/>
      <c r="B50" s="241"/>
      <c r="C50" s="172" t="s">
        <v>387</v>
      </c>
      <c r="D50" s="247" t="s">
        <v>447</v>
      </c>
      <c r="E50" s="173" t="s">
        <v>452</v>
      </c>
      <c r="F50" s="179">
        <v>0.2</v>
      </c>
      <c r="G50" s="121" t="s">
        <v>388</v>
      </c>
      <c r="H50" s="121"/>
      <c r="I50" s="121"/>
      <c r="J50" s="121" t="s">
        <v>139</v>
      </c>
      <c r="K50" s="121">
        <v>1</v>
      </c>
      <c r="L50" s="121">
        <v>857.5</v>
      </c>
      <c r="M50" s="121"/>
      <c r="N50" s="121"/>
      <c r="O50" s="121">
        <v>20</v>
      </c>
      <c r="P50" s="176"/>
      <c r="Q50" s="151">
        <f t="shared" si="14"/>
        <v>28.583333333333332</v>
      </c>
      <c r="R50" s="132" t="str">
        <f t="shared" si="15"/>
        <v>n/a</v>
      </c>
      <c r="S50" s="143" t="str">
        <f t="shared" si="16"/>
        <v>n/a</v>
      </c>
      <c r="T50" s="143" t="str">
        <f t="shared" si="17"/>
        <v>n/a</v>
      </c>
      <c r="U50" s="143" t="str">
        <f t="shared" si="18"/>
        <v>n/a</v>
      </c>
      <c r="V50" s="152">
        <f t="shared" si="19"/>
        <v>28.583333333333332</v>
      </c>
      <c r="W50" s="153">
        <f t="shared" si="20"/>
        <v>1.4291666666666667</v>
      </c>
      <c r="X50" s="154" t="str">
        <f t="shared" si="21"/>
        <v>n/a</v>
      </c>
      <c r="Y50" s="154" t="str">
        <f t="shared" si="22"/>
        <v>n/a</v>
      </c>
      <c r="Z50" s="154" t="str">
        <f t="shared" si="23"/>
        <v>n/a</v>
      </c>
      <c r="AA50" s="155">
        <f t="shared" si="24"/>
        <v>1.4291666666666667</v>
      </c>
      <c r="AB50" s="92">
        <v>0.2</v>
      </c>
      <c r="AC50" s="88" t="s">
        <v>515</v>
      </c>
      <c r="AD50" s="156">
        <v>0.04</v>
      </c>
      <c r="AE50" s="134" t="s">
        <v>649</v>
      </c>
      <c r="AF50" s="575">
        <f>7.8*60</f>
        <v>468</v>
      </c>
      <c r="AG50" s="204" t="s">
        <v>515</v>
      </c>
      <c r="AH50" s="302"/>
      <c r="AI50" s="302"/>
      <c r="AJ50" s="303"/>
      <c r="AK50" s="303"/>
      <c r="AL50" s="204"/>
      <c r="AM50" s="87"/>
      <c r="AN50" s="120"/>
      <c r="AO50" s="87">
        <v>34</v>
      </c>
      <c r="AP50" s="99" t="s">
        <v>444</v>
      </c>
      <c r="AQ50" s="314"/>
      <c r="AR50" s="99"/>
      <c r="AS50" s="118"/>
      <c r="AT50" s="120">
        <f t="shared" si="25"/>
      </c>
      <c r="AU50" s="131"/>
      <c r="AV50" s="131">
        <f t="shared" si="140"/>
      </c>
      <c r="AW50" s="156">
        <f t="shared" si="152"/>
      </c>
      <c r="AX50" s="219"/>
      <c r="AY50" s="118"/>
      <c r="AZ50" s="141"/>
      <c r="BA50" s="125">
        <f t="shared" si="141"/>
        <v>15.599999999999998</v>
      </c>
      <c r="BB50" s="125">
        <f t="shared" si="142"/>
        <v>0.6239999999999999</v>
      </c>
      <c r="BC50" s="120">
        <f t="shared" si="143"/>
        <v>2</v>
      </c>
      <c r="BD50" s="120" t="str">
        <f t="shared" si="144"/>
        <v>n/a</v>
      </c>
      <c r="BE50" s="120" t="str">
        <f t="shared" si="145"/>
        <v>n/a</v>
      </c>
      <c r="BF50" s="120" t="str">
        <f t="shared" si="146"/>
        <v>n/a</v>
      </c>
      <c r="BG50" s="120" t="str">
        <f t="shared" si="28"/>
        <v>n/a</v>
      </c>
      <c r="BH50" s="120">
        <f t="shared" si="29"/>
      </c>
      <c r="BI50" s="120" t="str">
        <f t="shared" si="147"/>
        <v>n/a</v>
      </c>
      <c r="BJ50" s="158" t="str">
        <f t="shared" si="30"/>
        <v>n/a</v>
      </c>
      <c r="BK50" s="159">
        <f t="shared" si="31"/>
        <v>15.599999999999998</v>
      </c>
      <c r="BL50" s="160" t="str">
        <f t="shared" si="32"/>
        <v>n/a</v>
      </c>
      <c r="BM50" s="161" t="str">
        <f t="shared" si="33"/>
        <v>n/a</v>
      </c>
      <c r="BN50" s="161">
        <f t="shared" si="34"/>
        <v>0.7799999999999999</v>
      </c>
      <c r="BO50" s="162" t="str">
        <f t="shared" si="35"/>
        <v>n/a</v>
      </c>
      <c r="BP50" s="161" t="str">
        <f t="shared" si="36"/>
        <v>n/a</v>
      </c>
      <c r="BQ50" s="162">
        <f t="shared" si="37"/>
        <v>0.7799999999999999</v>
      </c>
      <c r="BR50" s="161">
        <f t="shared" si="38"/>
        <v>0.031199999999999995</v>
      </c>
      <c r="BS50" s="161" t="str">
        <f t="shared" si="39"/>
        <v>n/a</v>
      </c>
      <c r="BT50" s="161" t="str">
        <f t="shared" si="40"/>
        <v>n/a</v>
      </c>
      <c r="BU50" s="161">
        <f t="shared" si="41"/>
        <v>0.031199999999999995</v>
      </c>
      <c r="BV50" s="163" t="str">
        <f t="shared" si="42"/>
        <v>Unless otherwise stated, covers concentrations up to 20% [ConsOC1]; covers use up to 11 days/year[ConsOC3]; covers use up to 1 time/on day of use[ConsOC4]; covers skin contact area up to 468,00 cm2 [ConsOC5]; for each use event, covers use amounts up to 34g [ConsOC2]; </v>
      </c>
      <c r="BW50" s="126" t="str">
        <f t="shared" si="43"/>
        <v>No specific RMMs identified beyond those OCs stated</v>
      </c>
      <c r="BX50" s="125" t="str">
        <f t="shared" si="44"/>
        <v>Based upon daily use</v>
      </c>
      <c r="BY50" s="120">
        <f t="shared" si="45"/>
        <v>0.7799999999999999</v>
      </c>
      <c r="BZ50" s="120" t="str">
        <f t="shared" si="46"/>
        <v>n/a</v>
      </c>
      <c r="CA50" s="120" t="str">
        <f t="shared" si="47"/>
        <v>n/a</v>
      </c>
      <c r="CB50" s="164">
        <f t="shared" si="48"/>
        <v>0.7799999999999999</v>
      </c>
      <c r="CC50" s="120">
        <f t="shared" si="49"/>
        <v>0.6239999999999999</v>
      </c>
      <c r="CD50" s="120" t="str">
        <f t="shared" si="50"/>
        <v>n/a</v>
      </c>
      <c r="CE50" s="159" t="str">
        <f t="shared" si="51"/>
        <v>n/a</v>
      </c>
      <c r="CF50" s="138"/>
      <c r="CG50" s="145" t="str">
        <f t="shared" si="135"/>
        <v>PC24: Lubricants, greases, and release products</v>
      </c>
      <c r="CH50" s="118" t="str">
        <f t="shared" si="136"/>
        <v>Pastes</v>
      </c>
      <c r="CI50" s="120">
        <f t="shared" si="52"/>
        <v>0.6239999999999999</v>
      </c>
      <c r="CJ50" s="120" t="str">
        <f t="shared" si="53"/>
        <v>n/a</v>
      </c>
      <c r="CK50" s="120" t="str">
        <f t="shared" si="54"/>
        <v>n/a</v>
      </c>
      <c r="CL50" s="165"/>
      <c r="CM50" s="165">
        <f t="shared" si="55"/>
        <v>6.239999999999998</v>
      </c>
      <c r="CN50" s="165" t="str">
        <f t="shared" si="56"/>
        <v>n/a</v>
      </c>
      <c r="CO50" s="165" t="str">
        <f t="shared" si="57"/>
        <v>n/a</v>
      </c>
      <c r="CP50" s="598">
        <f>IF(SUM(CM50:CO50)&lt;$BZ$4,"",adjustparameter($AB50,0.01,SUM(CM50,CN50,CO50)/$AB50,$BZ$4))</f>
        <v>0.028846153846153855</v>
      </c>
      <c r="CQ50" s="166">
        <f t="shared" si="58"/>
        <v>0.8557692307692307</v>
      </c>
      <c r="CR50" s="599">
        <f>IF($CK50="n/a","",IF(SUM(CM50:CO50)&lt;$BZ$4,"",adjustparameter($AO50,0.5*$AO50,SUM(SUM(CO50)*CP50/$AB50/$AO50),($BZ$4-SUM(CM50:CN50)*CP50/$AB50))))</f>
      </c>
      <c r="CS50" s="166">
        <f t="shared" si="59"/>
      </c>
      <c r="CT50" s="165"/>
      <c r="CU50" s="166">
        <f t="shared" si="60"/>
      </c>
      <c r="CV50" s="124"/>
      <c r="CW50" s="166">
        <f t="shared" si="61"/>
      </c>
      <c r="CX50" s="595">
        <f t="shared" si="62"/>
      </c>
      <c r="CY50" s="165">
        <f>IF(CX50="","",VLOOKUP(CX50,Picklist!$C$2:$E$5,3))</f>
      </c>
      <c r="CZ50" s="594">
        <f t="shared" si="63"/>
      </c>
      <c r="DA50" s="165"/>
      <c r="DB50" s="166">
        <f t="shared" si="64"/>
      </c>
      <c r="DC50" s="165">
        <f t="shared" si="65"/>
        <v>0.09000000000000001</v>
      </c>
      <c r="DD50" s="165" t="str">
        <f t="shared" si="66"/>
        <v>n/a</v>
      </c>
      <c r="DE50" s="165" t="str">
        <f t="shared" si="67"/>
        <v>n/a</v>
      </c>
      <c r="DF50" s="165">
        <f t="shared" si="68"/>
        <v>0.0045000000000000005</v>
      </c>
      <c r="DG50" s="165" t="str">
        <f t="shared" si="69"/>
        <v>n/a</v>
      </c>
      <c r="DH50" s="165" t="str">
        <f t="shared" si="70"/>
        <v>n/a</v>
      </c>
      <c r="DI50" s="167">
        <f t="shared" si="71"/>
        <v>0.0045000000000000005</v>
      </c>
      <c r="DJ50" s="165">
        <f t="shared" si="72"/>
        <v>0.9</v>
      </c>
      <c r="DK50" s="165" t="str">
        <f t="shared" si="148"/>
        <v>n/a</v>
      </c>
      <c r="DL50" s="165" t="str">
        <f t="shared" si="73"/>
        <v>n/a</v>
      </c>
      <c r="DM50" s="168">
        <f t="shared" si="74"/>
        <v>0.9</v>
      </c>
      <c r="DN50" s="185"/>
      <c r="DO50" s="165">
        <f t="shared" si="75"/>
        <v>0.6239999999999999</v>
      </c>
      <c r="DP50" s="165" t="str">
        <f t="shared" si="76"/>
        <v>n/a</v>
      </c>
      <c r="DQ50" s="165" t="str">
        <f t="shared" si="77"/>
        <v>n/a</v>
      </c>
      <c r="DR50" s="598">
        <f>IF(SUM(DO50:DQ50)&lt;$BZ$4,"",adjustparameter($AB50,0.01,SUM(DO50,DP50,DQ50)/$AB50,$BZ$4))</f>
      </c>
      <c r="DS50" s="166">
        <f t="shared" si="78"/>
      </c>
      <c r="DT50" s="597">
        <f>IF($CK50="n/a","",IF(SUM(DO50:DQ50)&lt;$BZ$4,"",adjustparameter($AO50,0.5*$AO50,SUM(SUM(DQ50)*DR50/$AB50/$AO50),($BZ$4-SUM(DO50:DP50)*DR50/$AB50))))</f>
      </c>
      <c r="DU50" s="166">
        <f t="shared" si="8"/>
      </c>
      <c r="DV50" s="165"/>
      <c r="DW50" s="166">
        <f t="shared" si="79"/>
      </c>
      <c r="DX50" s="165"/>
      <c r="DY50" s="166">
        <f t="shared" si="80"/>
      </c>
      <c r="DZ50" s="595">
        <f t="shared" si="81"/>
      </c>
      <c r="EA50" s="165">
        <f>IF(DZ50="","",VLOOKUP(DZ50,Picklist!$C$2:$E$5,3))</f>
      </c>
      <c r="EB50" s="594">
        <f t="shared" si="82"/>
      </c>
      <c r="EC50" s="165"/>
      <c r="ED50" s="166">
        <f t="shared" si="83"/>
      </c>
      <c r="EE50" s="593">
        <f t="shared" si="84"/>
        <v>0.6239999999999999</v>
      </c>
      <c r="EF50" s="594" t="str">
        <f t="shared" si="85"/>
        <v>n/a</v>
      </c>
      <c r="EG50" s="594" t="str">
        <f t="shared" si="86"/>
        <v>n/a</v>
      </c>
      <c r="EH50" s="165">
        <f t="shared" si="87"/>
        <v>0.031199999999999995</v>
      </c>
      <c r="EI50" s="165" t="str">
        <f t="shared" si="88"/>
        <v>n/a</v>
      </c>
      <c r="EJ50" s="165" t="str">
        <f t="shared" si="89"/>
        <v>n/a</v>
      </c>
      <c r="EK50" s="167">
        <f t="shared" si="90"/>
        <v>0.031199999999999995</v>
      </c>
      <c r="EL50" s="165">
        <f t="shared" si="91"/>
        <v>0.6239999999999999</v>
      </c>
      <c r="EM50" s="165" t="str">
        <f t="shared" si="149"/>
        <v>n/a</v>
      </c>
      <c r="EN50" s="165" t="str">
        <f t="shared" si="92"/>
        <v>n/a</v>
      </c>
      <c r="EO50" s="168">
        <f t="shared" si="93"/>
        <v>0.6239999999999999</v>
      </c>
      <c r="EP50" s="185"/>
      <c r="EQ50" s="165">
        <f t="shared" si="94"/>
        <v>0.12479999999999998</v>
      </c>
      <c r="ER50" s="165" t="str">
        <f t="shared" si="95"/>
        <v>n/a</v>
      </c>
      <c r="ES50" s="165" t="str">
        <f t="shared" si="96"/>
        <v>n/a</v>
      </c>
      <c r="ET50" s="596">
        <f>IF(SUM(EQ50:ES50)&lt;$BZ$4,"",adjustparameter($AB50,0.01,SUM(EQ50,ER50,ES50)/$AB50,$BZ$4))</f>
      </c>
      <c r="EU50" s="166">
        <f t="shared" si="97"/>
      </c>
      <c r="EV50" s="597">
        <f>IF($CK50="n/a","",IF(SUM(EQ50:ES50)&lt;$BZ$4,"",adjustparameter($AO50,0.5*$AO50,SUM(SUM(ES50)*ET50/$AB50/$AO50),($BZ$4-SUM(EQ50:ER50)*ET50/$AB50))))</f>
      </c>
      <c r="EW50" s="166">
        <f t="shared" si="98"/>
      </c>
      <c r="EX50" s="165"/>
      <c r="EY50" s="166">
        <f t="shared" si="99"/>
      </c>
      <c r="EZ50" s="217"/>
      <c r="FA50" s="166">
        <f t="shared" si="100"/>
      </c>
      <c r="FB50" s="595">
        <f t="shared" si="101"/>
      </c>
      <c r="FC50" s="165">
        <f>IF(FB50="","",VLOOKUP(FB50,Picklist!$C$2:$E$5,3))</f>
      </c>
      <c r="FD50" s="594">
        <f t="shared" si="102"/>
      </c>
      <c r="FE50" s="165"/>
      <c r="FF50" s="166">
        <f t="shared" si="10"/>
      </c>
      <c r="FG50" s="593">
        <f t="shared" si="103"/>
        <v>0.6239999999999999</v>
      </c>
      <c r="FH50" s="594" t="str">
        <f t="shared" si="104"/>
        <v>n/a</v>
      </c>
      <c r="FI50" s="594" t="str">
        <f t="shared" si="105"/>
        <v>n/a</v>
      </c>
      <c r="FJ50" s="165">
        <f t="shared" si="106"/>
        <v>0.031199999999999995</v>
      </c>
      <c r="FK50" s="165" t="str">
        <f t="shared" si="107"/>
        <v>n/a</v>
      </c>
      <c r="FL50" s="165" t="str">
        <f t="shared" si="108"/>
        <v>n/a</v>
      </c>
      <c r="FM50" s="167">
        <f t="shared" si="109"/>
        <v>0.031199999999999995</v>
      </c>
      <c r="FN50" s="165">
        <f t="shared" si="110"/>
        <v>0.12479999999999998</v>
      </c>
      <c r="FO50" s="165" t="str">
        <f t="shared" si="150"/>
        <v>n/a</v>
      </c>
      <c r="FP50" s="165" t="str">
        <f t="shared" si="111"/>
        <v>n/a</v>
      </c>
      <c r="FQ50" s="168">
        <f t="shared" si="112"/>
        <v>0.12479999999999998</v>
      </c>
      <c r="FR50" s="185"/>
      <c r="FS50" s="165">
        <f t="shared" si="113"/>
        <v>0.031199999999999995</v>
      </c>
      <c r="FT50" s="165" t="str">
        <f t="shared" si="114"/>
        <v>n/a</v>
      </c>
      <c r="FU50" s="165" t="str">
        <f t="shared" si="115"/>
        <v>n/a</v>
      </c>
      <c r="FV50" s="596">
        <f>IF(SUM(FS50:FU50)&lt;$BZ$4,"",adjustparameter($AB50,0.01,SUM(FS50,FT50,FU50)/$AB50,$BZ$4))</f>
      </c>
      <c r="FW50" s="166">
        <f t="shared" si="116"/>
      </c>
      <c r="FX50" s="597">
        <f>IF($CK50="n/a","",IF(SUM(FS50:FU50)&lt;$BZ$4,"",adjustparameter($AO50,0.5*$AO50,SUM(SUM(FU50)*FV50/$AB50/$AO50),($BZ$4-SUM(FS50:FT50)*FV50/$AB50))))</f>
      </c>
      <c r="FY50" s="166">
        <f t="shared" si="117"/>
      </c>
      <c r="FZ50" s="165"/>
      <c r="GA50" s="166">
        <f t="shared" si="118"/>
      </c>
      <c r="GB50" s="165"/>
      <c r="GC50" s="166">
        <f t="shared" si="119"/>
      </c>
      <c r="GD50" s="595">
        <f t="shared" si="120"/>
      </c>
      <c r="GE50" s="165">
        <f>IF(GD50="","",VLOOKUP(GD50,Picklist!$C$2:$E$5,3))</f>
      </c>
      <c r="GF50" s="594">
        <f t="shared" si="121"/>
      </c>
      <c r="GG50" s="165"/>
      <c r="GH50" s="166">
        <f t="shared" si="12"/>
      </c>
      <c r="GI50" s="593">
        <f t="shared" si="122"/>
        <v>0.6239999999999999</v>
      </c>
      <c r="GJ50" s="594" t="str">
        <f t="shared" si="123"/>
        <v>n/a</v>
      </c>
      <c r="GK50" s="594" t="str">
        <f t="shared" si="124"/>
        <v>n/a</v>
      </c>
      <c r="GL50" s="165">
        <f t="shared" si="125"/>
        <v>0.031199999999999995</v>
      </c>
      <c r="GM50" s="165" t="str">
        <f t="shared" si="126"/>
        <v>n/a</v>
      </c>
      <c r="GN50" s="165" t="str">
        <f t="shared" si="127"/>
        <v>n/a</v>
      </c>
      <c r="GO50" s="167">
        <f t="shared" si="128"/>
        <v>0.031199999999999995</v>
      </c>
      <c r="GP50" s="165">
        <f t="shared" si="129"/>
        <v>0.031199999999999995</v>
      </c>
      <c r="GQ50" s="165" t="str">
        <f t="shared" si="151"/>
        <v>n/a</v>
      </c>
      <c r="GR50" s="165" t="str">
        <f t="shared" si="130"/>
        <v>n/a</v>
      </c>
      <c r="GS50" s="170">
        <f t="shared" si="131"/>
        <v>0.031199999999999995</v>
      </c>
    </row>
    <row r="51" spans="1:201" s="139" customFormat="1" ht="118.5">
      <c r="A51" s="144"/>
      <c r="B51" s="241"/>
      <c r="C51" s="172" t="s">
        <v>387</v>
      </c>
      <c r="D51" s="247" t="s">
        <v>447</v>
      </c>
      <c r="E51" s="248" t="s">
        <v>453</v>
      </c>
      <c r="F51" s="179">
        <v>0.5</v>
      </c>
      <c r="G51" s="121" t="s">
        <v>388</v>
      </c>
      <c r="H51" s="121"/>
      <c r="I51" s="121" t="s">
        <v>388</v>
      </c>
      <c r="J51" s="121" t="s">
        <v>398</v>
      </c>
      <c r="K51" s="121">
        <v>1</v>
      </c>
      <c r="L51" s="121">
        <v>428.75</v>
      </c>
      <c r="M51" s="121"/>
      <c r="N51" s="121">
        <v>300</v>
      </c>
      <c r="O51" s="121">
        <v>20</v>
      </c>
      <c r="P51" s="176">
        <v>4</v>
      </c>
      <c r="Q51" s="151">
        <f t="shared" si="14"/>
        <v>35.72916666666667</v>
      </c>
      <c r="R51" s="132" t="str">
        <f t="shared" si="15"/>
        <v>n/a</v>
      </c>
      <c r="S51" s="143">
        <f t="shared" si="16"/>
        <v>685.0000000000001</v>
      </c>
      <c r="T51" s="143">
        <f t="shared" si="17"/>
        <v>7500</v>
      </c>
      <c r="U51" s="143">
        <f t="shared" si="18"/>
        <v>7500</v>
      </c>
      <c r="V51" s="152">
        <f t="shared" si="19"/>
        <v>720.7291666666667</v>
      </c>
      <c r="W51" s="153">
        <f t="shared" si="20"/>
        <v>1.7864583333333335</v>
      </c>
      <c r="X51" s="154" t="str">
        <f t="shared" si="21"/>
        <v>n/a</v>
      </c>
      <c r="Y51" s="154" t="str">
        <f t="shared" si="22"/>
        <v>n/a</v>
      </c>
      <c r="Z51" s="154">
        <f t="shared" si="23"/>
        <v>107.14285714285714</v>
      </c>
      <c r="AA51" s="155">
        <f t="shared" si="24"/>
        <v>108.92931547619047</v>
      </c>
      <c r="AB51" s="92">
        <v>0.5</v>
      </c>
      <c r="AC51" s="88" t="s">
        <v>515</v>
      </c>
      <c r="AD51" s="156">
        <v>0.04</v>
      </c>
      <c r="AE51" s="134" t="s">
        <v>650</v>
      </c>
      <c r="AF51" s="92">
        <v>428.75</v>
      </c>
      <c r="AG51" s="204" t="s">
        <v>515</v>
      </c>
      <c r="AH51" s="302"/>
      <c r="AI51" s="302"/>
      <c r="AJ51" s="303"/>
      <c r="AK51" s="303"/>
      <c r="AL51" s="204"/>
      <c r="AM51" s="87"/>
      <c r="AN51" s="120"/>
      <c r="AO51" s="87">
        <v>73</v>
      </c>
      <c r="AP51" s="91" t="s">
        <v>440</v>
      </c>
      <c r="AQ51" s="87"/>
      <c r="AR51" s="91"/>
      <c r="AS51" s="118" t="s">
        <v>496</v>
      </c>
      <c r="AT51" s="120">
        <f t="shared" si="25"/>
        <v>0.6</v>
      </c>
      <c r="AU51" s="131" t="str">
        <f>IF(AND(AS51="outdoor",AT51=0.6),"est. conservative value for outdoor","RIVM  general fact sheet")</f>
        <v>RIVM  general fact sheet</v>
      </c>
      <c r="AV51" s="131">
        <f t="shared" si="140"/>
        <v>0.9506906699129728</v>
      </c>
      <c r="AW51" s="156">
        <f>IF(OR(AS51="indoor, typical",AS51="indoor, ventilation",AS51="indoor, active ventilation"),20,IF(AS51="garage",34,IF(AS51="outdoor",100,"")))</f>
        <v>20</v>
      </c>
      <c r="AX51" s="156" t="str">
        <f>IF(AW51=20,"TRA default",IF(AW51=34,"RIVM general fact sheet",IF(AW51=100,"Stoffenmanager volume used for outdoors","")))</f>
        <v>TRA default</v>
      </c>
      <c r="AY51" s="164">
        <v>0.17</v>
      </c>
      <c r="AZ51" s="159" t="s">
        <v>446</v>
      </c>
      <c r="BA51" s="125">
        <f t="shared" si="141"/>
        <v>35.72916666666667</v>
      </c>
      <c r="BB51" s="125">
        <f t="shared" si="142"/>
        <v>1.429166666666667</v>
      </c>
      <c r="BC51" s="120">
        <f t="shared" si="143"/>
        <v>5</v>
      </c>
      <c r="BD51" s="120" t="str">
        <f t="shared" si="144"/>
        <v>n/a</v>
      </c>
      <c r="BE51" s="120" t="str">
        <f t="shared" si="145"/>
        <v>n/a</v>
      </c>
      <c r="BF51" s="120">
        <f t="shared" si="146"/>
        <v>6.734732317774747</v>
      </c>
      <c r="BG51" s="120">
        <f t="shared" si="28"/>
        <v>1735.0104725911756</v>
      </c>
      <c r="BH51" s="120">
        <f t="shared" si="29"/>
      </c>
      <c r="BI51" s="120">
        <f t="shared" si="147"/>
        <v>12.289657514187494</v>
      </c>
      <c r="BJ51" s="158">
        <f t="shared" si="30"/>
        <v>0.4915863005674998</v>
      </c>
      <c r="BK51" s="159">
        <f t="shared" si="31"/>
        <v>42.46389898444142</v>
      </c>
      <c r="BL51" s="160" t="str">
        <f t="shared" si="32"/>
        <v>n/a</v>
      </c>
      <c r="BM51" s="161" t="str">
        <f t="shared" si="33"/>
        <v>n/a</v>
      </c>
      <c r="BN51" s="161">
        <f t="shared" si="34"/>
        <v>1.7864583333333335</v>
      </c>
      <c r="BO51" s="162" t="str">
        <f t="shared" si="35"/>
        <v>n/a</v>
      </c>
      <c r="BP51" s="161">
        <f t="shared" si="36"/>
        <v>0.1755665359169642</v>
      </c>
      <c r="BQ51" s="162">
        <f t="shared" si="37"/>
        <v>1.9620248692502977</v>
      </c>
      <c r="BR51" s="161">
        <f t="shared" si="38"/>
        <v>0.07145833333333335</v>
      </c>
      <c r="BS51" s="161" t="str">
        <f t="shared" si="39"/>
        <v>n/a</v>
      </c>
      <c r="BT51" s="161">
        <f t="shared" si="40"/>
        <v>0.007022661436678569</v>
      </c>
      <c r="BU51" s="161">
        <f t="shared" si="41"/>
        <v>0.07848099477001191</v>
      </c>
      <c r="BV51" s="163" t="str">
        <f t="shared" si="42"/>
        <v>Unless otherwise stated, covers concentrations up to 50% [ConsOC1]; covers use up to 11 days/year[ConsOC3]; covers use up to 1 time/on day of use[ConsOC4]; covers skin contact area up to 428,75 cm2 [ConsOC5]; for each use event, covers use amounts up to 73g [ConsOC2]; covers use under typical household ventilation [ConsOC8]; covers use in room size of 20m3[ConsOC11]; for each use event, covers exposure up to 0,17hr/event[ConsOC14]; </v>
      </c>
      <c r="BW51" s="126" t="str">
        <f t="shared" si="43"/>
        <v>No specific RMMs identified beyond those OCs stated</v>
      </c>
      <c r="BX51" s="125" t="str">
        <f t="shared" si="44"/>
        <v>Based upon infrequent use (&lt;365 days/yr)</v>
      </c>
      <c r="BY51" s="120">
        <f t="shared" si="45"/>
        <v>0.07145833333333335</v>
      </c>
      <c r="BZ51" s="120" t="str">
        <f t="shared" si="46"/>
        <v>n/a</v>
      </c>
      <c r="CA51" s="120">
        <f t="shared" si="47"/>
        <v>0.007022661436678569</v>
      </c>
      <c r="CB51" s="164">
        <f t="shared" si="48"/>
        <v>0.07848099477001191</v>
      </c>
      <c r="CC51" s="120">
        <f t="shared" si="49"/>
        <v>5</v>
      </c>
      <c r="CD51" s="120" t="str">
        <f t="shared" si="50"/>
        <v>n/a</v>
      </c>
      <c r="CE51" s="159">
        <f t="shared" si="51"/>
        <v>0.4915863005674998</v>
      </c>
      <c r="CF51" s="138"/>
      <c r="CG51" s="145" t="str">
        <f t="shared" si="135"/>
        <v>PC24: Lubricants, greases, and release products</v>
      </c>
      <c r="CH51" s="118" t="str">
        <f t="shared" si="136"/>
        <v>Sprays</v>
      </c>
      <c r="CI51" s="120">
        <f t="shared" si="52"/>
        <v>1.429166666666667</v>
      </c>
      <c r="CJ51" s="120" t="str">
        <f t="shared" si="53"/>
        <v>n/a</v>
      </c>
      <c r="CK51" s="120">
        <f t="shared" si="54"/>
        <v>0.4915863005674998</v>
      </c>
      <c r="CL51" s="165"/>
      <c r="CM51" s="165">
        <f t="shared" si="55"/>
        <v>14.291666666666668</v>
      </c>
      <c r="CN51" s="165" t="str">
        <f t="shared" si="56"/>
        <v>n/a</v>
      </c>
      <c r="CO51" s="165">
        <f t="shared" si="57"/>
        <v>0.9831726011349996</v>
      </c>
      <c r="CP51" s="598">
        <f>IF(SUM(CM51:CO51)&lt;$BZ$4,"",adjustparameter($AB51,0.01,SUM(CM51,CN51,CO51)/$AB51,$BZ$4))</f>
        <v>0.02946021179735552</v>
      </c>
      <c r="CQ51" s="166">
        <f t="shared" si="58"/>
        <v>0.9410795764052889</v>
      </c>
      <c r="CR51" s="599">
        <f>IF($CK51="n/a","",IF(SUM(CM51:CO51)&lt;$BZ$4,"",adjustparameter($AO51,0.5*$AO51,SUM(SUM(CO51)*CP51/$AB51/$AO51),($BZ$4-SUM(CM51:CN51)*CP51/$AB51))))</f>
      </c>
      <c r="CS51" s="166">
        <f t="shared" si="59"/>
      </c>
      <c r="CT51" s="165"/>
      <c r="CU51" s="166">
        <f t="shared" si="60"/>
      </c>
      <c r="CV51" s="124"/>
      <c r="CW51" s="166">
        <f t="shared" si="61"/>
      </c>
      <c r="CX51" s="595">
        <f t="shared" si="62"/>
      </c>
      <c r="CY51" s="165">
        <f>IF(CX51="","",VLOOKUP(CX51,Picklist!$C$2:$E$5,3))</f>
      </c>
      <c r="CZ51" s="594">
        <f t="shared" si="63"/>
      </c>
      <c r="DA51" s="165"/>
      <c r="DB51" s="166">
        <f t="shared" si="64"/>
      </c>
      <c r="DC51" s="165">
        <f t="shared" si="65"/>
        <v>0.08420710538744124</v>
      </c>
      <c r="DD51" s="165" t="str">
        <f t="shared" si="66"/>
        <v>n/a</v>
      </c>
      <c r="DE51" s="165">
        <f t="shared" si="67"/>
        <v>0.02896447306279404</v>
      </c>
      <c r="DF51" s="165">
        <f t="shared" si="68"/>
        <v>0.004210355269372062</v>
      </c>
      <c r="DG51" s="165" t="str">
        <f t="shared" si="69"/>
        <v>n/a</v>
      </c>
      <c r="DH51" s="165">
        <f t="shared" si="70"/>
        <v>0.0004137781866113434</v>
      </c>
      <c r="DI51" s="167">
        <f t="shared" si="71"/>
        <v>0.0046241334559834054</v>
      </c>
      <c r="DJ51" s="165">
        <f t="shared" si="72"/>
        <v>0.842071053874412</v>
      </c>
      <c r="DK51" s="165" t="str">
        <f t="shared" si="148"/>
        <v>n/a</v>
      </c>
      <c r="DL51" s="165">
        <f t="shared" si="73"/>
        <v>0.057928946125588056</v>
      </c>
      <c r="DM51" s="168">
        <f t="shared" si="74"/>
        <v>0.9</v>
      </c>
      <c r="DN51" s="185"/>
      <c r="DO51" s="165">
        <f t="shared" si="75"/>
        <v>1.429166666666667</v>
      </c>
      <c r="DP51" s="165" t="str">
        <f t="shared" si="76"/>
        <v>n/a</v>
      </c>
      <c r="DQ51" s="165">
        <f t="shared" si="77"/>
        <v>0.09831726011349996</v>
      </c>
      <c r="DR51" s="598">
        <f>IF(SUM(DO51:DQ51)&lt;$BZ$4,"",adjustparameter($AB51,0.01,SUM(DO51,DP51,DQ51)/$AB51,$BZ$4))</f>
        <v>0.2946021179735551</v>
      </c>
      <c r="DS51" s="166">
        <f t="shared" si="78"/>
        <v>0.41079576405288976</v>
      </c>
      <c r="DT51" s="597">
        <f>IF($CK51="n/a","",IF(SUM(DO51:DQ51)&lt;$BZ$4,"",adjustparameter($AO51,0.5*$AO51,SUM(SUM(DQ51)*DR51/$AB51/$AO51),($BZ$4-SUM(DO51:DP51)*DR51/$AB51))))</f>
      </c>
      <c r="DU51" s="166">
        <f t="shared" si="8"/>
      </c>
      <c r="DV51" s="165"/>
      <c r="DW51" s="166">
        <f t="shared" si="79"/>
      </c>
      <c r="DX51" s="165"/>
      <c r="DY51" s="166">
        <f t="shared" si="80"/>
      </c>
      <c r="DZ51" s="595">
        <f t="shared" si="81"/>
      </c>
      <c r="EA51" s="165">
        <f>IF(DZ51="","",VLOOKUP(DZ51,Picklist!$C$2:$E$5,3))</f>
      </c>
      <c r="EB51" s="594">
        <f t="shared" si="82"/>
      </c>
      <c r="EC51" s="165"/>
      <c r="ED51" s="166">
        <f t="shared" si="83"/>
      </c>
      <c r="EE51" s="593">
        <f t="shared" si="84"/>
        <v>0.8420710538744118</v>
      </c>
      <c r="EF51" s="594" t="str">
        <f t="shared" si="85"/>
        <v>n/a</v>
      </c>
      <c r="EG51" s="594">
        <f t="shared" si="86"/>
        <v>0.2896447306279402</v>
      </c>
      <c r="EH51" s="165">
        <f t="shared" si="87"/>
        <v>0.04210355269372059</v>
      </c>
      <c r="EI51" s="165" t="str">
        <f t="shared" si="88"/>
        <v>n/a</v>
      </c>
      <c r="EJ51" s="165">
        <f t="shared" si="89"/>
        <v>0.004137781866113432</v>
      </c>
      <c r="EK51" s="167">
        <f t="shared" si="90"/>
        <v>0.04624133455983402</v>
      </c>
      <c r="EL51" s="165">
        <f t="shared" si="91"/>
        <v>0.8420710538744118</v>
      </c>
      <c r="EM51" s="165" t="str">
        <f t="shared" si="149"/>
        <v>n/a</v>
      </c>
      <c r="EN51" s="165">
        <f t="shared" si="92"/>
        <v>0.05792894612558804</v>
      </c>
      <c r="EO51" s="168">
        <f t="shared" si="93"/>
        <v>0.8999999999999999</v>
      </c>
      <c r="EP51" s="185"/>
      <c r="EQ51" s="165">
        <f t="shared" si="94"/>
        <v>0.2858333333333334</v>
      </c>
      <c r="ER51" s="165" t="str">
        <f t="shared" si="95"/>
        <v>n/a</v>
      </c>
      <c r="ES51" s="165">
        <f t="shared" si="96"/>
        <v>0.019663452022699993</v>
      </c>
      <c r="ET51" s="596">
        <f>IF(SUM(EQ51:ES51)&lt;$BZ$4,"",adjustparameter($AB51,0.01,SUM(EQ51,ER51,ES51)/$AB51,$BZ$4))</f>
      </c>
      <c r="EU51" s="166">
        <f t="shared" si="97"/>
      </c>
      <c r="EV51" s="597">
        <f>IF($CK51="n/a","",IF(SUM(EQ51:ES51)&lt;$BZ$4,"",adjustparameter($AO51,0.5*$AO51,SUM(SUM(ES51)*ET51/$AB51/$AO51),($BZ$4-SUM(EQ51:ER51)*ET51/$AB51))))</f>
      </c>
      <c r="EW51" s="166">
        <f t="shared" si="98"/>
      </c>
      <c r="EX51" s="165"/>
      <c r="EY51" s="166">
        <f t="shared" si="99"/>
      </c>
      <c r="EZ51" s="217"/>
      <c r="FA51" s="166">
        <f t="shared" si="100"/>
      </c>
      <c r="FB51" s="595">
        <f t="shared" si="101"/>
      </c>
      <c r="FC51" s="165">
        <f>IF(FB51="","",VLOOKUP(FB51,Picklist!$C$2:$E$5,3))</f>
      </c>
      <c r="FD51" s="594">
        <f t="shared" si="102"/>
      </c>
      <c r="FE51" s="165"/>
      <c r="FF51" s="166">
        <f t="shared" si="10"/>
      </c>
      <c r="FG51" s="593">
        <f t="shared" si="103"/>
        <v>1.429166666666667</v>
      </c>
      <c r="FH51" s="594" t="str">
        <f t="shared" si="104"/>
        <v>n/a</v>
      </c>
      <c r="FI51" s="594">
        <f t="shared" si="105"/>
        <v>0.4915863005674998</v>
      </c>
      <c r="FJ51" s="165">
        <f t="shared" si="106"/>
        <v>0.07145833333333335</v>
      </c>
      <c r="FK51" s="165" t="str">
        <f t="shared" si="107"/>
        <v>n/a</v>
      </c>
      <c r="FL51" s="165">
        <f t="shared" si="108"/>
        <v>0.007022661436678569</v>
      </c>
      <c r="FM51" s="167">
        <f t="shared" si="109"/>
        <v>0.07848099477001191</v>
      </c>
      <c r="FN51" s="165">
        <f t="shared" si="110"/>
        <v>0.2858333333333334</v>
      </c>
      <c r="FO51" s="165" t="str">
        <f t="shared" si="150"/>
        <v>n/a</v>
      </c>
      <c r="FP51" s="165">
        <f t="shared" si="111"/>
        <v>0.019663452022699993</v>
      </c>
      <c r="FQ51" s="168">
        <f t="shared" si="112"/>
        <v>0.30549678535603336</v>
      </c>
      <c r="FR51" s="185"/>
      <c r="FS51" s="165">
        <f t="shared" si="113"/>
        <v>0.07145833333333335</v>
      </c>
      <c r="FT51" s="165" t="str">
        <f t="shared" si="114"/>
        <v>n/a</v>
      </c>
      <c r="FU51" s="165">
        <f t="shared" si="115"/>
        <v>0.004915863005674998</v>
      </c>
      <c r="FV51" s="596">
        <f>IF(SUM(FS51:FU51)&lt;$BZ$4,"",adjustparameter($AB51,0.01,SUM(FS51,FT51,FU51)/$AB51,$BZ$4))</f>
      </c>
      <c r="FW51" s="166">
        <f t="shared" si="116"/>
      </c>
      <c r="FX51" s="597">
        <f>IF($CK51="n/a","",IF(SUM(FS51:FU51)&lt;$BZ$4,"",adjustparameter($AO51,0.5*$AO51,SUM(SUM(FU51)*FV51/$AB51/$AO51),($BZ$4-SUM(FS51:FT51)*FV51/$AB51))))</f>
      </c>
      <c r="FY51" s="166">
        <f t="shared" si="117"/>
      </c>
      <c r="FZ51" s="165"/>
      <c r="GA51" s="166">
        <f t="shared" si="118"/>
      </c>
      <c r="GB51" s="165"/>
      <c r="GC51" s="166">
        <f t="shared" si="119"/>
      </c>
      <c r="GD51" s="595">
        <f t="shared" si="120"/>
      </c>
      <c r="GE51" s="165">
        <f>IF(GD51="","",VLOOKUP(GD51,Picklist!$C$2:$E$5,3))</f>
      </c>
      <c r="GF51" s="594">
        <f t="shared" si="121"/>
      </c>
      <c r="GG51" s="165"/>
      <c r="GH51" s="166">
        <f t="shared" si="12"/>
      </c>
      <c r="GI51" s="593">
        <f t="shared" si="122"/>
        <v>1.429166666666667</v>
      </c>
      <c r="GJ51" s="594" t="str">
        <f t="shared" si="123"/>
        <v>n/a</v>
      </c>
      <c r="GK51" s="594">
        <f t="shared" si="124"/>
        <v>0.4915863005674998</v>
      </c>
      <c r="GL51" s="165">
        <f t="shared" si="125"/>
        <v>0.07145833333333335</v>
      </c>
      <c r="GM51" s="165" t="str">
        <f t="shared" si="126"/>
        <v>n/a</v>
      </c>
      <c r="GN51" s="165">
        <f t="shared" si="127"/>
        <v>0.007022661436678569</v>
      </c>
      <c r="GO51" s="167">
        <f t="shared" si="128"/>
        <v>0.07848099477001191</v>
      </c>
      <c r="GP51" s="165">
        <f t="shared" si="129"/>
        <v>0.07145833333333335</v>
      </c>
      <c r="GQ51" s="165" t="str">
        <f t="shared" si="151"/>
        <v>n/a</v>
      </c>
      <c r="GR51" s="165">
        <f t="shared" si="130"/>
        <v>0.004915863005674998</v>
      </c>
      <c r="GS51" s="170">
        <f t="shared" si="131"/>
        <v>0.07637419633900834</v>
      </c>
    </row>
    <row r="52" spans="1:248" s="171" customFormat="1" ht="78.75">
      <c r="A52" s="139"/>
      <c r="B52" s="145"/>
      <c r="C52" s="187" t="s">
        <v>387</v>
      </c>
      <c r="D52" s="188" t="s">
        <v>35</v>
      </c>
      <c r="E52" s="249"/>
      <c r="F52" s="179">
        <v>0.5</v>
      </c>
      <c r="G52" s="128" t="s">
        <v>388</v>
      </c>
      <c r="H52" s="128" t="s">
        <v>458</v>
      </c>
      <c r="I52" s="118"/>
      <c r="J52" s="121" t="s">
        <v>139</v>
      </c>
      <c r="K52" s="121">
        <v>1</v>
      </c>
      <c r="L52" s="121">
        <v>857.5</v>
      </c>
      <c r="M52" s="121">
        <v>0.3</v>
      </c>
      <c r="N52" s="118"/>
      <c r="O52" s="121"/>
      <c r="P52" s="140"/>
      <c r="Q52" s="151">
        <f t="shared" si="14"/>
        <v>71.45833333333334</v>
      </c>
      <c r="R52" s="132">
        <f t="shared" si="15"/>
        <v>15</v>
      </c>
      <c r="S52" s="143" t="str">
        <f t="shared" si="16"/>
        <v>n/a</v>
      </c>
      <c r="T52" s="143" t="str">
        <f t="shared" si="17"/>
        <v>n/a</v>
      </c>
      <c r="U52" s="143" t="str">
        <f t="shared" si="18"/>
        <v>n/a</v>
      </c>
      <c r="V52" s="152">
        <f t="shared" si="19"/>
        <v>86.45833333333334</v>
      </c>
      <c r="W52" s="153">
        <f t="shared" si="20"/>
        <v>3.572916666666667</v>
      </c>
      <c r="X52" s="154">
        <f t="shared" si="21"/>
        <v>0.75</v>
      </c>
      <c r="Y52" s="154" t="str">
        <f t="shared" si="22"/>
        <v>n/a</v>
      </c>
      <c r="Z52" s="154" t="str">
        <f t="shared" si="23"/>
        <v>n/a</v>
      </c>
      <c r="AA52" s="155">
        <f t="shared" si="24"/>
        <v>4.322916666666667</v>
      </c>
      <c r="AB52" s="92">
        <v>0.5</v>
      </c>
      <c r="AC52" s="87" t="s">
        <v>335</v>
      </c>
      <c r="AD52" s="180">
        <v>1</v>
      </c>
      <c r="AE52" s="120" t="s">
        <v>644</v>
      </c>
      <c r="AF52" s="92">
        <v>857.5</v>
      </c>
      <c r="AG52" s="120" t="s">
        <v>335</v>
      </c>
      <c r="AH52" s="87"/>
      <c r="AI52" s="87"/>
      <c r="AJ52" s="112"/>
      <c r="AK52" s="112"/>
      <c r="AL52" s="118"/>
      <c r="AM52" s="92">
        <v>0.3</v>
      </c>
      <c r="AN52" s="120" t="s">
        <v>335</v>
      </c>
      <c r="AO52" s="81"/>
      <c r="AP52" s="114"/>
      <c r="AQ52" s="87"/>
      <c r="AR52" s="81"/>
      <c r="AS52" s="129"/>
      <c r="AT52" s="120">
        <f t="shared" si="25"/>
      </c>
      <c r="AU52" s="118"/>
      <c r="AV52" s="131">
        <f t="shared" si="140"/>
      </c>
      <c r="AW52" s="156">
        <f t="shared" si="152"/>
      </c>
      <c r="AX52" s="118"/>
      <c r="AY52" s="118"/>
      <c r="AZ52" s="141"/>
      <c r="BA52" s="125">
        <f t="shared" si="141"/>
        <v>71.45833333333334</v>
      </c>
      <c r="BB52" s="125">
        <f t="shared" si="142"/>
        <v>71.45833333333334</v>
      </c>
      <c r="BC52" s="120">
        <f t="shared" si="143"/>
        <v>5</v>
      </c>
      <c r="BD52" s="120">
        <f t="shared" si="144"/>
        <v>15</v>
      </c>
      <c r="BE52" s="120">
        <f t="shared" si="145"/>
        <v>15</v>
      </c>
      <c r="BF52" s="120" t="str">
        <f t="shared" si="146"/>
        <v>n/a</v>
      </c>
      <c r="BG52" s="120" t="str">
        <f t="shared" si="28"/>
        <v>n/a</v>
      </c>
      <c r="BH52" s="120">
        <f t="shared" si="29"/>
      </c>
      <c r="BI52" s="120" t="str">
        <f t="shared" si="147"/>
        <v>n/a</v>
      </c>
      <c r="BJ52" s="158" t="str">
        <f t="shared" si="30"/>
        <v>n/a</v>
      </c>
      <c r="BK52" s="159">
        <f t="shared" si="31"/>
        <v>86.45833333333334</v>
      </c>
      <c r="BL52" s="160" t="str">
        <f t="shared" si="32"/>
        <v>n/a</v>
      </c>
      <c r="BM52" s="161" t="str">
        <f t="shared" si="33"/>
        <v>n/a</v>
      </c>
      <c r="BN52" s="161">
        <f t="shared" si="34"/>
        <v>3.572916666666667</v>
      </c>
      <c r="BO52" s="162">
        <f t="shared" si="35"/>
        <v>0.75</v>
      </c>
      <c r="BP52" s="161" t="str">
        <f t="shared" si="36"/>
        <v>n/a</v>
      </c>
      <c r="BQ52" s="162">
        <f t="shared" si="37"/>
        <v>4.322916666666667</v>
      </c>
      <c r="BR52" s="161">
        <f t="shared" si="38"/>
        <v>3.572916666666667</v>
      </c>
      <c r="BS52" s="161">
        <f t="shared" si="39"/>
        <v>0.75</v>
      </c>
      <c r="BT52" s="161" t="str">
        <f t="shared" si="40"/>
        <v>n/a</v>
      </c>
      <c r="BU52" s="161">
        <f t="shared" si="41"/>
        <v>4.322916666666667</v>
      </c>
      <c r="BV52" s="163" t="str">
        <f t="shared" si="42"/>
        <v>Unless otherwise stated, covers concentrations up to 50% [ConsOC1]; covers use up to 364 days/year[ConsOC3]; covers use up to 1 time/on day of use[ConsOC4]; covers skin contact area up to 857,50 cm2 [ConsOC5]; for each use event, assumes swallowed amount of 0,3g [ConsOC13]; </v>
      </c>
      <c r="BW52" s="126" t="str">
        <f t="shared" si="43"/>
        <v>Avoid using at a product concentration greater than 10% [ConsRMM1]; </v>
      </c>
      <c r="BX52" s="125" t="str">
        <f t="shared" si="44"/>
        <v>Based upon daily use + RMM</v>
      </c>
      <c r="BY52" s="120">
        <f t="shared" si="45"/>
        <v>0.743855421686747</v>
      </c>
      <c r="BZ52" s="120">
        <f t="shared" si="46"/>
        <v>0.15614457831325299</v>
      </c>
      <c r="CA52" s="120" t="str">
        <f t="shared" si="47"/>
        <v>n/a</v>
      </c>
      <c r="CB52" s="164">
        <f t="shared" si="48"/>
        <v>0.9</v>
      </c>
      <c r="CC52" s="120">
        <f t="shared" si="49"/>
        <v>14.87710843373494</v>
      </c>
      <c r="CD52" s="120">
        <f t="shared" si="50"/>
        <v>3.12289156626506</v>
      </c>
      <c r="CE52" s="159" t="str">
        <f t="shared" si="51"/>
        <v>n/a</v>
      </c>
      <c r="CF52" s="194"/>
      <c r="CG52" s="174" t="str">
        <f t="shared" si="135"/>
        <v>PC27_n: Plant protection products</v>
      </c>
      <c r="CH52" s="129"/>
      <c r="CI52" s="120">
        <f t="shared" si="52"/>
        <v>71.45833333333334</v>
      </c>
      <c r="CJ52" s="120">
        <f t="shared" si="53"/>
        <v>15</v>
      </c>
      <c r="CK52" s="120" t="str">
        <f t="shared" si="54"/>
        <v>n/a</v>
      </c>
      <c r="CL52" s="124"/>
      <c r="CM52" s="165">
        <f t="shared" si="55"/>
        <v>714.5833333333334</v>
      </c>
      <c r="CN52" s="165">
        <f t="shared" si="56"/>
        <v>150</v>
      </c>
      <c r="CO52" s="165" t="str">
        <f t="shared" si="57"/>
        <v>n/a</v>
      </c>
      <c r="CP52" s="598">
        <f>IF(SUM(CM52:CO52)&lt;$BZ$4,"",adjustparameter($AB52,0.01,SUM(CM52,CN52,CO52)/$AB52,$BZ$4))</f>
        <v>0.01</v>
      </c>
      <c r="CQ52" s="166">
        <f t="shared" si="58"/>
        <v>0.98</v>
      </c>
      <c r="CR52" s="599">
        <f>IF($CK52="n/a","",IF(SUM(CM52:CO52)&lt;$BZ$4,"",adjustparameter($AO52,0.5*$AO52,SUM(SUM(CO52)*CP52/$AB52/$AO52),($BZ$4-SUM(CM52:CN52)*CP52/$AB52))))</f>
      </c>
      <c r="CS52" s="166">
        <f t="shared" si="59"/>
      </c>
      <c r="CT52" s="124"/>
      <c r="CU52" s="166">
        <f t="shared" si="60"/>
      </c>
      <c r="CV52" s="124"/>
      <c r="CW52" s="166">
        <f t="shared" si="61"/>
      </c>
      <c r="CX52" s="595">
        <f t="shared" si="62"/>
      </c>
      <c r="CY52" s="165">
        <f>IF(CX52="","",VLOOKUP(CX52,Picklist!$C$2:$E$5,3))</f>
      </c>
      <c r="CZ52" s="594">
        <f t="shared" si="63"/>
      </c>
      <c r="DA52" s="165"/>
      <c r="DB52" s="166">
        <f t="shared" si="64"/>
      </c>
      <c r="DC52" s="165">
        <f t="shared" si="65"/>
        <v>1.429166666666668</v>
      </c>
      <c r="DD52" s="165">
        <f t="shared" si="66"/>
        <v>0.30000000000000027</v>
      </c>
      <c r="DE52" s="165" t="str">
        <f t="shared" si="67"/>
        <v>n/a</v>
      </c>
      <c r="DF52" s="165">
        <f t="shared" si="68"/>
        <v>0.0714583333333334</v>
      </c>
      <c r="DG52" s="165">
        <f t="shared" si="69"/>
        <v>0.015000000000000013</v>
      </c>
      <c r="DH52" s="165" t="str">
        <f t="shared" si="70"/>
        <v>n/a</v>
      </c>
      <c r="DI52" s="167">
        <f t="shared" si="71"/>
        <v>0.08645833333333341</v>
      </c>
      <c r="DJ52" s="165">
        <f t="shared" si="72"/>
        <v>14.291666666666668</v>
      </c>
      <c r="DK52" s="165">
        <f t="shared" si="148"/>
        <v>3</v>
      </c>
      <c r="DL52" s="165" t="str">
        <f t="shared" si="73"/>
        <v>n/a</v>
      </c>
      <c r="DM52" s="168">
        <f t="shared" si="74"/>
        <v>17.291666666666668</v>
      </c>
      <c r="DN52" s="169"/>
      <c r="DO52" s="165">
        <f t="shared" si="75"/>
        <v>71.45833333333334</v>
      </c>
      <c r="DP52" s="165">
        <f t="shared" si="76"/>
        <v>15</v>
      </c>
      <c r="DQ52" s="165" t="str">
        <f t="shared" si="77"/>
        <v>n/a</v>
      </c>
      <c r="DR52" s="598">
        <f>IF(SUM(DO52:DQ52)&lt;$BZ$4,"",adjustparameter($AB52,0.01,SUM(DO52,DP52,DQ52)/$AB52,$BZ$4))</f>
        <v>0.01</v>
      </c>
      <c r="DS52" s="166">
        <f t="shared" si="78"/>
        <v>0.98</v>
      </c>
      <c r="DT52" s="597">
        <f>IF($CK52="n/a","",IF(SUM(DO52:DQ52)&lt;$BZ$4,"",adjustparameter($AO52,0.5*$AO52,SUM(SUM(DQ52)*DR52/$AB52/$AO52),($BZ$4-SUM(DO52:DP52)*DR52/$AB52))))</f>
      </c>
      <c r="DU52" s="166">
        <f t="shared" si="8"/>
      </c>
      <c r="DV52" s="124"/>
      <c r="DW52" s="166">
        <f t="shared" si="79"/>
      </c>
      <c r="DX52" s="124"/>
      <c r="DY52" s="166">
        <f t="shared" si="80"/>
      </c>
      <c r="DZ52" s="595">
        <f t="shared" si="81"/>
      </c>
      <c r="EA52" s="165">
        <f>IF(DZ52="","",VLOOKUP(DZ52,Picklist!$C$2:$E$5,3))</f>
      </c>
      <c r="EB52" s="594">
        <f t="shared" si="82"/>
      </c>
      <c r="EC52" s="197"/>
      <c r="ED52" s="166">
        <f t="shared" si="83"/>
      </c>
      <c r="EE52" s="593">
        <f t="shared" si="84"/>
        <v>1.429166666666668</v>
      </c>
      <c r="EF52" s="594">
        <f t="shared" si="85"/>
        <v>0.30000000000000027</v>
      </c>
      <c r="EG52" s="594" t="str">
        <f t="shared" si="86"/>
        <v>n/a</v>
      </c>
      <c r="EH52" s="165">
        <f t="shared" si="87"/>
        <v>0.0714583333333334</v>
      </c>
      <c r="EI52" s="165">
        <f t="shared" si="88"/>
        <v>0.015000000000000013</v>
      </c>
      <c r="EJ52" s="165" t="str">
        <f t="shared" si="89"/>
        <v>n/a</v>
      </c>
      <c r="EK52" s="167">
        <f t="shared" si="90"/>
        <v>0.08645833333333341</v>
      </c>
      <c r="EL52" s="165">
        <f t="shared" si="91"/>
        <v>1.429166666666667</v>
      </c>
      <c r="EM52" s="165">
        <f t="shared" si="149"/>
        <v>0.3</v>
      </c>
      <c r="EN52" s="165" t="str">
        <f t="shared" si="92"/>
        <v>n/a</v>
      </c>
      <c r="EO52" s="168">
        <f t="shared" si="93"/>
        <v>1.729166666666667</v>
      </c>
      <c r="EP52" s="169"/>
      <c r="EQ52" s="165">
        <f t="shared" si="94"/>
        <v>14.291666666666668</v>
      </c>
      <c r="ER52" s="165">
        <f t="shared" si="95"/>
        <v>3</v>
      </c>
      <c r="ES52" s="165" t="str">
        <f t="shared" si="96"/>
        <v>n/a</v>
      </c>
      <c r="ET52" s="596">
        <f>IF(SUM(EQ52:ES52)&lt;$BZ$4,"",adjustparameter($AB52,0.01,SUM(EQ52,ER52,ES52)/$AB52,$BZ$4))</f>
        <v>0.026024096385542168</v>
      </c>
      <c r="EU52" s="166">
        <f t="shared" si="97"/>
        <v>0.9479518072289157</v>
      </c>
      <c r="EV52" s="597">
        <f>IF($CK52="n/a","",IF(SUM(EQ52:ES52)&lt;$BZ$4,"",adjustparameter($AO52,0.5*$AO52,SUM(SUM(ES52)*ET52/$AB52/$AO52),($BZ$4-SUM(EQ52:ER52)*ET52/$AB52))))</f>
      </c>
      <c r="EW52" s="166">
        <f t="shared" si="98"/>
      </c>
      <c r="EX52" s="124"/>
      <c r="EY52" s="166">
        <f t="shared" si="99"/>
      </c>
      <c r="EZ52" s="124"/>
      <c r="FA52" s="166">
        <f t="shared" si="100"/>
      </c>
      <c r="FB52" s="595">
        <f t="shared" si="101"/>
      </c>
      <c r="FC52" s="165">
        <f>IF(FB52="","",VLOOKUP(FB52,Picklist!$C$2:$E$5,3))</f>
      </c>
      <c r="FD52" s="594">
        <f t="shared" si="102"/>
      </c>
      <c r="FE52" s="197"/>
      <c r="FF52" s="166">
        <f t="shared" si="10"/>
      </c>
      <c r="FG52" s="593">
        <f t="shared" si="103"/>
        <v>3.7192771084337326</v>
      </c>
      <c r="FH52" s="594">
        <f t="shared" si="104"/>
        <v>0.7807228915662645</v>
      </c>
      <c r="FI52" s="594" t="str">
        <f t="shared" si="105"/>
        <v>n/a</v>
      </c>
      <c r="FJ52" s="165">
        <f t="shared" si="106"/>
        <v>0.18596385542168664</v>
      </c>
      <c r="FK52" s="165">
        <f t="shared" si="107"/>
        <v>0.039036144578313225</v>
      </c>
      <c r="FL52" s="165" t="str">
        <f t="shared" si="108"/>
        <v>n/a</v>
      </c>
      <c r="FM52" s="167">
        <f t="shared" si="109"/>
        <v>0.22499999999999987</v>
      </c>
      <c r="FN52" s="165">
        <f t="shared" si="110"/>
        <v>0.743855421686747</v>
      </c>
      <c r="FO52" s="165">
        <f t="shared" si="150"/>
        <v>0.156144578313253</v>
      </c>
      <c r="FP52" s="165" t="str">
        <f t="shared" si="111"/>
        <v>n/a</v>
      </c>
      <c r="FQ52" s="168">
        <f t="shared" si="112"/>
        <v>0.9</v>
      </c>
      <c r="FR52" s="169"/>
      <c r="FS52" s="165">
        <f t="shared" si="113"/>
        <v>3.572916666666667</v>
      </c>
      <c r="FT52" s="165">
        <f t="shared" si="114"/>
        <v>0.75</v>
      </c>
      <c r="FU52" s="165" t="str">
        <f t="shared" si="115"/>
        <v>n/a</v>
      </c>
      <c r="FV52" s="596">
        <f>IF(SUM(FS52:FU52)&lt;$BZ$4,"",adjustparameter($AB52,0.01,SUM(FS52,FT52,FU52)/$AB52,$BZ$4))</f>
        <v>0.10409638554216867</v>
      </c>
      <c r="FW52" s="166">
        <f t="shared" si="116"/>
        <v>0.7918072289156627</v>
      </c>
      <c r="FX52" s="597">
        <f>IF($CK52="n/a","",IF(SUM(FS52:FU52)&lt;$BZ$4,"",adjustparameter($AO52,0.5*$AO52,SUM(SUM(FU52)*FV52/$AB52/$AO52),($BZ$4-SUM(FS52:FT52)*FV52/$AB52))))</f>
      </c>
      <c r="FY52" s="166">
        <f t="shared" si="117"/>
      </c>
      <c r="FZ52" s="124"/>
      <c r="GA52" s="166">
        <f t="shared" si="118"/>
      </c>
      <c r="GB52" s="124"/>
      <c r="GC52" s="166">
        <f t="shared" si="119"/>
      </c>
      <c r="GD52" s="595">
        <f t="shared" si="120"/>
      </c>
      <c r="GE52" s="165">
        <f>IF(GD52="","",VLOOKUP(GD52,Picklist!$C$2:$E$5,3))</f>
      </c>
      <c r="GF52" s="594">
        <f t="shared" si="121"/>
      </c>
      <c r="GG52" s="197"/>
      <c r="GH52" s="166">
        <f t="shared" si="12"/>
      </c>
      <c r="GI52" s="593">
        <f t="shared" si="122"/>
        <v>14.87710843373494</v>
      </c>
      <c r="GJ52" s="594">
        <f t="shared" si="123"/>
        <v>3.12289156626506</v>
      </c>
      <c r="GK52" s="594" t="str">
        <f t="shared" si="124"/>
        <v>n/a</v>
      </c>
      <c r="GL52" s="165">
        <f t="shared" si="125"/>
        <v>0.743855421686747</v>
      </c>
      <c r="GM52" s="165">
        <f t="shared" si="126"/>
        <v>0.15614457831325299</v>
      </c>
      <c r="GN52" s="165" t="str">
        <f t="shared" si="127"/>
        <v>n/a</v>
      </c>
      <c r="GO52" s="167">
        <f t="shared" si="128"/>
        <v>0.9</v>
      </c>
      <c r="GP52" s="165">
        <f t="shared" si="129"/>
        <v>0.743855421686747</v>
      </c>
      <c r="GQ52" s="165">
        <f t="shared" si="151"/>
        <v>0.156144578313253</v>
      </c>
      <c r="GR52" s="165" t="str">
        <f t="shared" si="130"/>
        <v>n/a</v>
      </c>
      <c r="GS52" s="170">
        <f t="shared" si="131"/>
        <v>0.9</v>
      </c>
      <c r="GT52" s="139"/>
      <c r="GU52" s="139"/>
      <c r="GV52" s="139"/>
      <c r="GW52" s="139"/>
      <c r="GX52" s="139"/>
      <c r="GY52" s="139"/>
      <c r="GZ52" s="139"/>
      <c r="HA52" s="139"/>
      <c r="HB52" s="139"/>
      <c r="HC52" s="139"/>
      <c r="HD52" s="139"/>
      <c r="HE52" s="139"/>
      <c r="HF52" s="139"/>
      <c r="HG52" s="139"/>
      <c r="HH52" s="139"/>
      <c r="HI52" s="139"/>
      <c r="HJ52" s="139"/>
      <c r="HK52" s="139"/>
      <c r="HL52" s="139"/>
      <c r="HM52" s="139"/>
      <c r="HN52" s="139"/>
      <c r="HO52" s="139"/>
      <c r="HP52" s="139"/>
      <c r="HQ52" s="139"/>
      <c r="HR52" s="139"/>
      <c r="HS52" s="139"/>
      <c r="HT52" s="139"/>
      <c r="HU52" s="139"/>
      <c r="HV52" s="139"/>
      <c r="HW52" s="139"/>
      <c r="HX52" s="139"/>
      <c r="HY52" s="139"/>
      <c r="HZ52" s="139"/>
      <c r="IA52" s="139"/>
      <c r="IB52" s="139"/>
      <c r="IC52" s="139"/>
      <c r="ID52" s="139"/>
      <c r="IE52" s="139"/>
      <c r="IF52" s="139"/>
      <c r="IG52" s="139"/>
      <c r="IH52" s="139"/>
      <c r="II52" s="139"/>
      <c r="IJ52" s="139"/>
      <c r="IK52" s="139"/>
      <c r="IL52" s="139"/>
      <c r="IM52" s="139"/>
      <c r="IN52" s="139"/>
    </row>
    <row r="53" spans="1:248" s="171" customFormat="1" ht="92.25" customHeight="1">
      <c r="A53" s="139"/>
      <c r="B53" s="241"/>
      <c r="C53" s="172" t="s">
        <v>387</v>
      </c>
      <c r="D53" s="247" t="s">
        <v>552</v>
      </c>
      <c r="E53" s="173" t="s">
        <v>31</v>
      </c>
      <c r="F53" s="179">
        <v>0.5</v>
      </c>
      <c r="G53" s="121" t="s">
        <v>388</v>
      </c>
      <c r="H53" s="121"/>
      <c r="I53" s="121" t="s">
        <v>388</v>
      </c>
      <c r="J53" s="121" t="s">
        <v>139</v>
      </c>
      <c r="K53" s="121">
        <v>1</v>
      </c>
      <c r="L53" s="121">
        <v>857.5</v>
      </c>
      <c r="M53" s="121"/>
      <c r="N53" s="121">
        <v>550</v>
      </c>
      <c r="O53" s="121">
        <v>20</v>
      </c>
      <c r="P53" s="176">
        <v>4</v>
      </c>
      <c r="Q53" s="151">
        <f t="shared" si="14"/>
        <v>71.45833333333334</v>
      </c>
      <c r="R53" s="132" t="str">
        <f t="shared" si="15"/>
        <v>n/a</v>
      </c>
      <c r="S53" s="143">
        <f t="shared" si="16"/>
        <v>1255.8333333333335</v>
      </c>
      <c r="T53" s="143">
        <f t="shared" si="17"/>
        <v>13750</v>
      </c>
      <c r="U53" s="143">
        <f t="shared" si="18"/>
        <v>13750</v>
      </c>
      <c r="V53" s="152">
        <f t="shared" si="19"/>
        <v>1327.2916666666667</v>
      </c>
      <c r="W53" s="153">
        <f t="shared" si="20"/>
        <v>3.572916666666667</v>
      </c>
      <c r="X53" s="154" t="str">
        <f t="shared" si="21"/>
        <v>n/a</v>
      </c>
      <c r="Y53" s="154" t="str">
        <f t="shared" si="22"/>
        <v>n/a</v>
      </c>
      <c r="Z53" s="154">
        <f t="shared" si="23"/>
        <v>196.42857142857142</v>
      </c>
      <c r="AA53" s="155">
        <f t="shared" si="24"/>
        <v>200.00148809523807</v>
      </c>
      <c r="AB53" s="92">
        <v>0.5</v>
      </c>
      <c r="AC53" s="87" t="s">
        <v>65</v>
      </c>
      <c r="AD53" s="156">
        <v>0.2</v>
      </c>
      <c r="AE53" s="134" t="s">
        <v>656</v>
      </c>
      <c r="AF53" s="575">
        <v>430</v>
      </c>
      <c r="AG53" s="204" t="s">
        <v>41</v>
      </c>
      <c r="AH53" s="302"/>
      <c r="AI53" s="302"/>
      <c r="AJ53" s="304"/>
      <c r="AK53" s="304"/>
      <c r="AL53" s="204"/>
      <c r="AM53" s="87"/>
      <c r="AN53" s="120"/>
      <c r="AO53" s="81">
        <v>142</v>
      </c>
      <c r="AP53" s="81" t="s">
        <v>58</v>
      </c>
      <c r="AQ53" s="87"/>
      <c r="AR53" s="81"/>
      <c r="AS53" s="118" t="s">
        <v>496</v>
      </c>
      <c r="AT53" s="120">
        <f t="shared" si="25"/>
        <v>0.6</v>
      </c>
      <c r="AU53" s="131" t="str">
        <f aca="true" t="shared" si="153" ref="AU53:AU58">IF(AND(AS53="outdoor",AT53=0.6),"est. conservative value for outdoor","RIVM  general fact sheet")</f>
        <v>RIVM  general fact sheet</v>
      </c>
      <c r="AV53" s="131">
        <f t="shared" si="140"/>
        <v>0.7072234441512499</v>
      </c>
      <c r="AW53" s="156">
        <f t="shared" si="152"/>
        <v>20</v>
      </c>
      <c r="AX53" s="156" t="str">
        <f aca="true" t="shared" si="154" ref="AX53:AX58">IF(AW53=20,"TRA default",IF(AW53=34,"RIVM general fact sheet",IF(AW53=100,"Stoffenmanager volume used for outdoors","")))</f>
        <v>TRA default</v>
      </c>
      <c r="AY53" s="164">
        <v>1.23</v>
      </c>
      <c r="AZ53" s="192" t="s">
        <v>59</v>
      </c>
      <c r="BA53" s="125">
        <f t="shared" si="141"/>
        <v>35.83333333333334</v>
      </c>
      <c r="BB53" s="125">
        <f t="shared" si="142"/>
        <v>7.166666666666669</v>
      </c>
      <c r="BC53" s="120">
        <f t="shared" si="143"/>
        <v>5</v>
      </c>
      <c r="BD53" s="120" t="str">
        <f t="shared" si="144"/>
        <v>n/a</v>
      </c>
      <c r="BE53" s="120" t="str">
        <f t="shared" si="145"/>
        <v>n/a</v>
      </c>
      <c r="BF53" s="120">
        <f t="shared" si="146"/>
        <v>70.51141502290689</v>
      </c>
      <c r="BG53" s="120">
        <f t="shared" si="28"/>
        <v>2510.643226736937</v>
      </c>
      <c r="BH53" s="120">
        <f t="shared" si="29"/>
      </c>
      <c r="BI53" s="120">
        <f t="shared" si="147"/>
        <v>128.670465370268</v>
      </c>
      <c r="BJ53" s="158">
        <f t="shared" si="30"/>
        <v>25.734093074053604</v>
      </c>
      <c r="BK53" s="159">
        <f t="shared" si="31"/>
        <v>106.34474835624023</v>
      </c>
      <c r="BL53" s="160" t="str">
        <f t="shared" si="32"/>
        <v>n/a</v>
      </c>
      <c r="BM53" s="161" t="str">
        <f t="shared" si="33"/>
        <v>n/a</v>
      </c>
      <c r="BN53" s="161">
        <f t="shared" si="34"/>
        <v>1.7916666666666672</v>
      </c>
      <c r="BO53" s="162" t="str">
        <f t="shared" si="35"/>
        <v>n/a</v>
      </c>
      <c r="BP53" s="161">
        <f t="shared" si="36"/>
        <v>1.838149505289543</v>
      </c>
      <c r="BQ53" s="162">
        <f t="shared" si="37"/>
        <v>3.62981617195621</v>
      </c>
      <c r="BR53" s="161">
        <f t="shared" si="38"/>
        <v>0.35833333333333345</v>
      </c>
      <c r="BS53" s="161" t="str">
        <f t="shared" si="39"/>
        <v>n/a</v>
      </c>
      <c r="BT53" s="161">
        <f t="shared" si="40"/>
        <v>0.3676299010579086</v>
      </c>
      <c r="BU53" s="161">
        <f t="shared" si="41"/>
        <v>0.7259632343912421</v>
      </c>
      <c r="BV53" s="163" t="str">
        <f t="shared" si="42"/>
        <v>Unless otherwise stated, covers concentrations up to 50% [ConsOC1]; covers use up to 51 days/year[ConsOC3]; covers use up to 1 time/on day of use[ConsOC4]; covers skin contact area up to 430,00 cm2 [ConsOC5]; for each use event, covers use amounts up to 142g [ConsOC2]; covers use under typical household ventilation [ConsOC8]; covers use in room size of 20m3[ConsOC11]; for each use event, covers exposure up to 1,23hr/event[ConsOC14]; </v>
      </c>
      <c r="BW53" s="126" t="str">
        <f t="shared" si="43"/>
        <v>No specific RMMs identified beyond those OCs stated</v>
      </c>
      <c r="BX53" s="125" t="str">
        <f t="shared" si="44"/>
        <v>Based upon infrequent use (&lt;365 days/yr)</v>
      </c>
      <c r="BY53" s="120">
        <f t="shared" si="45"/>
        <v>0.35833333333333345</v>
      </c>
      <c r="BZ53" s="120" t="str">
        <f t="shared" si="46"/>
        <v>n/a</v>
      </c>
      <c r="CA53" s="120">
        <f t="shared" si="47"/>
        <v>0.3676299010579086</v>
      </c>
      <c r="CB53" s="164">
        <f t="shared" si="48"/>
        <v>0.7259632343912421</v>
      </c>
      <c r="CC53" s="120">
        <f t="shared" si="49"/>
        <v>5</v>
      </c>
      <c r="CD53" s="120" t="str">
        <f t="shared" si="50"/>
        <v>n/a</v>
      </c>
      <c r="CE53" s="159">
        <f t="shared" si="51"/>
        <v>25.734093074053604</v>
      </c>
      <c r="CF53" s="199"/>
      <c r="CG53" s="145" t="str">
        <f t="shared" si="135"/>
        <v>PC31:Polishes and wax blends</v>
      </c>
      <c r="CH53" s="118" t="str">
        <f>E53</f>
        <v>Polishes, wax / cream (floor, furniture, shoes)</v>
      </c>
      <c r="CI53" s="120">
        <f t="shared" si="52"/>
        <v>7.166666666666669</v>
      </c>
      <c r="CJ53" s="120" t="str">
        <f t="shared" si="53"/>
        <v>n/a</v>
      </c>
      <c r="CK53" s="120">
        <f t="shared" si="54"/>
        <v>25.734093074053604</v>
      </c>
      <c r="CL53" s="124"/>
      <c r="CM53" s="165">
        <f t="shared" si="55"/>
        <v>71.66666666666669</v>
      </c>
      <c r="CN53" s="165" t="str">
        <f t="shared" si="56"/>
        <v>n/a</v>
      </c>
      <c r="CO53" s="165">
        <f t="shared" si="57"/>
        <v>51.46818614810721</v>
      </c>
      <c r="CP53" s="598">
        <f>IF(SUM(CM53:CO53)&lt;$BZ$4,"",adjustparameter($AB53,0.01,SUM(CM53,CN53,CO53)/$AB53,$BZ$4))</f>
        <v>0.01</v>
      </c>
      <c r="CQ53" s="166">
        <f t="shared" si="58"/>
        <v>0.98</v>
      </c>
      <c r="CR53" s="599">
        <f>IF($CK53="n/a","",IF(SUM(CM53:CO53)&lt;$BZ$4,"",adjustparameter($AO53,0.5*$AO53,SUM(SUM(CO53)*CP53/$AB53/$AO53),($BZ$4-SUM(CM53:CN53)*CP53/$AB53))))</f>
        <v>71</v>
      </c>
      <c r="CS53" s="166">
        <f t="shared" si="59"/>
        <v>0.5</v>
      </c>
      <c r="CT53" s="124"/>
      <c r="CU53" s="166">
        <f t="shared" si="60"/>
      </c>
      <c r="CV53" s="124"/>
      <c r="CW53" s="166">
        <f t="shared" si="61"/>
      </c>
      <c r="CX53" s="595" t="str">
        <f t="shared" si="62"/>
        <v>indoor, ventilation</v>
      </c>
      <c r="CY53" s="165">
        <f>IF(CX53="","",VLOOKUP(CX53,Picklist!$C$2:$E$5,3))</f>
        <v>2.5</v>
      </c>
      <c r="CZ53" s="594">
        <f t="shared" si="63"/>
        <v>0.5614084385382911</v>
      </c>
      <c r="DA53" s="165"/>
      <c r="DB53" s="166">
        <f t="shared" si="64"/>
      </c>
      <c r="DC53" s="165">
        <f t="shared" si="65"/>
        <v>0.1433333333333335</v>
      </c>
      <c r="DD53" s="165" t="str">
        <f t="shared" si="66"/>
        <v>n/a</v>
      </c>
      <c r="DE53" s="165">
        <f t="shared" si="67"/>
        <v>0.11286756064150127</v>
      </c>
      <c r="DF53" s="165">
        <f t="shared" si="68"/>
        <v>0.007166666666666675</v>
      </c>
      <c r="DG53" s="165" t="str">
        <f t="shared" si="69"/>
        <v>n/a</v>
      </c>
      <c r="DH53" s="165">
        <f t="shared" si="70"/>
        <v>0.0016123937234500182</v>
      </c>
      <c r="DI53" s="167">
        <f t="shared" si="71"/>
        <v>0.008779060390116694</v>
      </c>
      <c r="DJ53" s="165">
        <f t="shared" si="72"/>
        <v>1.4333333333333338</v>
      </c>
      <c r="DK53" s="165" t="str">
        <f t="shared" si="148"/>
        <v>n/a</v>
      </c>
      <c r="DL53" s="165">
        <f t="shared" si="73"/>
        <v>0.22573512128300235</v>
      </c>
      <c r="DM53" s="168">
        <f t="shared" si="74"/>
        <v>1.6590684546163361</v>
      </c>
      <c r="DN53" s="169"/>
      <c r="DO53" s="165">
        <f t="shared" si="75"/>
        <v>7.166666666666669</v>
      </c>
      <c r="DP53" s="165" t="str">
        <f t="shared" si="76"/>
        <v>n/a</v>
      </c>
      <c r="DQ53" s="165">
        <f t="shared" si="77"/>
        <v>5.146818614810721</v>
      </c>
      <c r="DR53" s="598">
        <f>IF(SUM(DO53:DQ53)&lt;$BZ$4,"",adjustparameter($AB53,0.01,SUM(DO53,DP53,DQ53)/$AB53,$BZ$4))</f>
        <v>0.036545298890876515</v>
      </c>
      <c r="DS53" s="166">
        <f t="shared" si="78"/>
        <v>0.9269094022182469</v>
      </c>
      <c r="DT53" s="597">
        <f>IF($CK53="n/a","",IF(SUM(DO53:DQ53)&lt;$BZ$4,"",adjustparameter($AO53,0.5*$AO53,SUM(SUM(DQ53)*DR53/$AB53/$AO53),($BZ$4-SUM(DO53:DP53)*DR53/$AB53))))</f>
      </c>
      <c r="DU53" s="166">
        <f t="shared" si="8"/>
      </c>
      <c r="DV53" s="124"/>
      <c r="DW53" s="166">
        <f t="shared" si="79"/>
      </c>
      <c r="DX53" s="124"/>
      <c r="DY53" s="166">
        <f t="shared" si="80"/>
      </c>
      <c r="DZ53" s="595">
        <f t="shared" si="81"/>
      </c>
      <c r="EA53" s="165">
        <f>IF(DZ53="","",VLOOKUP(DZ53,Picklist!$C$2:$E$5,3))</f>
      </c>
      <c r="EB53" s="594">
        <f t="shared" si="82"/>
      </c>
      <c r="EC53" s="165"/>
      <c r="ED53" s="166">
        <f t="shared" si="83"/>
      </c>
      <c r="EE53" s="593">
        <f t="shared" si="84"/>
        <v>0.5238159507692306</v>
      </c>
      <c r="EF53" s="594" t="str">
        <f t="shared" si="85"/>
        <v>n/a</v>
      </c>
      <c r="EG53" s="594">
        <f t="shared" si="86"/>
        <v>1.88092024615385</v>
      </c>
      <c r="EH53" s="165">
        <f t="shared" si="87"/>
        <v>0.02619079753846153</v>
      </c>
      <c r="EI53" s="165" t="str">
        <f t="shared" si="88"/>
        <v>n/a</v>
      </c>
      <c r="EJ53" s="165">
        <f t="shared" si="89"/>
        <v>0.026870289230769284</v>
      </c>
      <c r="EK53" s="167">
        <f t="shared" si="90"/>
        <v>0.05306108676923081</v>
      </c>
      <c r="EL53" s="165">
        <f t="shared" si="91"/>
        <v>0.5238159507692302</v>
      </c>
      <c r="EM53" s="165" t="str">
        <f t="shared" si="149"/>
        <v>n/a</v>
      </c>
      <c r="EN53" s="165">
        <f t="shared" si="92"/>
        <v>0.3761840492307697</v>
      </c>
      <c r="EO53" s="168">
        <f t="shared" si="93"/>
        <v>0.8999999999999999</v>
      </c>
      <c r="EP53" s="169"/>
      <c r="EQ53" s="165">
        <f t="shared" si="94"/>
        <v>1.4333333333333338</v>
      </c>
      <c r="ER53" s="165" t="str">
        <f t="shared" si="95"/>
        <v>n/a</v>
      </c>
      <c r="ES53" s="165">
        <f t="shared" si="96"/>
        <v>1.0293637229621442</v>
      </c>
      <c r="ET53" s="596">
        <f>IF(SUM(EQ53:ES53)&lt;$BZ$4,"",adjustparameter($AB53,0.01,SUM(EQ53,ER53,ES53)/$AB53,$BZ$4))</f>
        <v>0.1827264944543826</v>
      </c>
      <c r="EU53" s="166">
        <f t="shared" si="97"/>
        <v>0.6345470110912348</v>
      </c>
      <c r="EV53" s="597">
        <f>IF($CK53="n/a","",IF(SUM(EQ53:ES53)&lt;$BZ$4,"",adjustparameter($AO53,0.5*$AO53,SUM(SUM(ES53)*ET53/$AB53/$AO53),($BZ$4-SUM(EQ53:ER53)*ET53/$AB53))))</f>
      </c>
      <c r="EW53" s="166">
        <f t="shared" si="98"/>
      </c>
      <c r="EX53" s="124"/>
      <c r="EY53" s="166">
        <f t="shared" si="99"/>
      </c>
      <c r="EZ53" s="124"/>
      <c r="FA53" s="166">
        <f t="shared" si="100"/>
      </c>
      <c r="FB53" s="595">
        <f t="shared" si="101"/>
      </c>
      <c r="FC53" s="165">
        <f>IF(FB53="","",VLOOKUP(FB53,Picklist!$C$2:$E$5,3))</f>
      </c>
      <c r="FD53" s="594">
        <f t="shared" si="102"/>
      </c>
      <c r="FE53" s="165"/>
      <c r="FF53" s="166">
        <f t="shared" si="10"/>
      </c>
      <c r="FG53" s="593">
        <f t="shared" si="103"/>
        <v>2.6190797538461514</v>
      </c>
      <c r="FH53" s="594" t="str">
        <f t="shared" si="104"/>
        <v>n/a</v>
      </c>
      <c r="FI53" s="594">
        <f t="shared" si="105"/>
        <v>9.404601230769243</v>
      </c>
      <c r="FJ53" s="165">
        <f t="shared" si="106"/>
        <v>0.13095398769230757</v>
      </c>
      <c r="FK53" s="165" t="str">
        <f t="shared" si="107"/>
        <v>n/a</v>
      </c>
      <c r="FL53" s="165">
        <f t="shared" si="108"/>
        <v>0.13435144615384634</v>
      </c>
      <c r="FM53" s="167">
        <f t="shared" si="109"/>
        <v>0.2653054338461539</v>
      </c>
      <c r="FN53" s="165">
        <f t="shared" si="110"/>
        <v>0.5238159507692303</v>
      </c>
      <c r="FO53" s="165" t="str">
        <f t="shared" si="150"/>
        <v>n/a</v>
      </c>
      <c r="FP53" s="165">
        <f t="shared" si="111"/>
        <v>0.37618404923076976</v>
      </c>
      <c r="FQ53" s="168">
        <f t="shared" si="112"/>
        <v>0.9</v>
      </c>
      <c r="FR53" s="169"/>
      <c r="FS53" s="165">
        <f t="shared" si="113"/>
        <v>0.35833333333333345</v>
      </c>
      <c r="FT53" s="165" t="str">
        <f t="shared" si="114"/>
        <v>n/a</v>
      </c>
      <c r="FU53" s="165">
        <f t="shared" si="115"/>
        <v>0.25734093074053604</v>
      </c>
      <c r="FV53" s="596">
        <f>IF(SUM(FS53:FU53)&lt;$BZ$4,"",adjustparameter($AB53,0.01,SUM(FS53,FT53,FU53)/$AB53,$BZ$4))</f>
      </c>
      <c r="FW53" s="166">
        <f t="shared" si="116"/>
      </c>
      <c r="FX53" s="597">
        <f>IF($CK53="n/a","",IF(SUM(FS53:FU53)&lt;$BZ$4,"",adjustparameter($AO53,0.5*$AO53,SUM(SUM(FU53)*FV53/$AB53/$AO53),($BZ$4-SUM(FS53:FT53)*FV53/$AB53))))</f>
      </c>
      <c r="FY53" s="166">
        <f t="shared" si="117"/>
      </c>
      <c r="FZ53" s="124"/>
      <c r="GA53" s="166">
        <f t="shared" si="118"/>
      </c>
      <c r="GB53" s="124"/>
      <c r="GC53" s="166">
        <f t="shared" si="119"/>
      </c>
      <c r="GD53" s="595">
        <f t="shared" si="120"/>
      </c>
      <c r="GE53" s="165">
        <f>IF(GD53="","",VLOOKUP(GD53,Picklist!$C$2:$E$5,3))</f>
      </c>
      <c r="GF53" s="594">
        <f t="shared" si="121"/>
      </c>
      <c r="GG53" s="165"/>
      <c r="GH53" s="166">
        <f t="shared" si="12"/>
      </c>
      <c r="GI53" s="593">
        <f t="shared" si="122"/>
        <v>7.166666666666669</v>
      </c>
      <c r="GJ53" s="594" t="str">
        <f t="shared" si="123"/>
        <v>n/a</v>
      </c>
      <c r="GK53" s="594">
        <f t="shared" si="124"/>
        <v>25.734093074053604</v>
      </c>
      <c r="GL53" s="165">
        <f t="shared" si="125"/>
        <v>0.35833333333333345</v>
      </c>
      <c r="GM53" s="165" t="str">
        <f t="shared" si="126"/>
        <v>n/a</v>
      </c>
      <c r="GN53" s="165">
        <f t="shared" si="127"/>
        <v>0.3676299010579086</v>
      </c>
      <c r="GO53" s="167">
        <f t="shared" si="128"/>
        <v>0.7259632343912421</v>
      </c>
      <c r="GP53" s="165">
        <f t="shared" si="129"/>
        <v>0.35833333333333345</v>
      </c>
      <c r="GQ53" s="165" t="str">
        <f t="shared" si="151"/>
        <v>n/a</v>
      </c>
      <c r="GR53" s="165">
        <f t="shared" si="130"/>
        <v>0.25734093074053604</v>
      </c>
      <c r="GS53" s="170">
        <f t="shared" si="131"/>
        <v>0.6156742640738695</v>
      </c>
      <c r="GT53" s="139"/>
      <c r="GU53" s="139"/>
      <c r="GV53" s="139"/>
      <c r="GW53" s="139"/>
      <c r="GX53" s="139"/>
      <c r="GY53" s="139"/>
      <c r="GZ53" s="139"/>
      <c r="HA53" s="139"/>
      <c r="HB53" s="139"/>
      <c r="HC53" s="139"/>
      <c r="HD53" s="139"/>
      <c r="HE53" s="139"/>
      <c r="HF53" s="139"/>
      <c r="HG53" s="139"/>
      <c r="HH53" s="139"/>
      <c r="HI53" s="139"/>
      <c r="HJ53" s="139"/>
      <c r="HK53" s="139"/>
      <c r="HL53" s="139"/>
      <c r="HM53" s="139"/>
      <c r="HN53" s="139"/>
      <c r="HO53" s="139"/>
      <c r="HP53" s="139"/>
      <c r="HQ53" s="139"/>
      <c r="HR53" s="139"/>
      <c r="HS53" s="139"/>
      <c r="HT53" s="139"/>
      <c r="HU53" s="139"/>
      <c r="HV53" s="139"/>
      <c r="HW53" s="139"/>
      <c r="HX53" s="139"/>
      <c r="HY53" s="139"/>
      <c r="HZ53" s="139"/>
      <c r="IA53" s="139"/>
      <c r="IB53" s="139"/>
      <c r="IC53" s="139"/>
      <c r="ID53" s="139"/>
      <c r="IE53" s="139"/>
      <c r="IF53" s="139"/>
      <c r="IG53" s="139"/>
      <c r="IH53" s="139"/>
      <c r="II53" s="139"/>
      <c r="IJ53" s="139"/>
      <c r="IK53" s="139"/>
      <c r="IL53" s="139"/>
      <c r="IM53" s="139"/>
      <c r="IN53" s="139"/>
    </row>
    <row r="54" spans="1:248" s="171" customFormat="1" ht="135.75" customHeight="1">
      <c r="A54" s="139"/>
      <c r="B54" s="241"/>
      <c r="C54" s="243" t="s">
        <v>387</v>
      </c>
      <c r="D54" s="221" t="s">
        <v>552</v>
      </c>
      <c r="E54" s="250" t="s">
        <v>32</v>
      </c>
      <c r="F54" s="209">
        <v>0.5</v>
      </c>
      <c r="G54" s="128" t="s">
        <v>388</v>
      </c>
      <c r="H54" s="128"/>
      <c r="I54" s="128" t="s">
        <v>388</v>
      </c>
      <c r="J54" s="128" t="s">
        <v>398</v>
      </c>
      <c r="K54" s="128">
        <v>1</v>
      </c>
      <c r="L54" s="128">
        <v>857.5</v>
      </c>
      <c r="M54" s="128"/>
      <c r="N54" s="128">
        <v>135</v>
      </c>
      <c r="O54" s="128">
        <v>20</v>
      </c>
      <c r="P54" s="210">
        <v>4</v>
      </c>
      <c r="Q54" s="151">
        <f t="shared" si="14"/>
        <v>71.45833333333334</v>
      </c>
      <c r="R54" s="132" t="str">
        <f t="shared" si="15"/>
        <v>n/a</v>
      </c>
      <c r="S54" s="143">
        <f t="shared" si="16"/>
        <v>308.25000000000006</v>
      </c>
      <c r="T54" s="143">
        <f t="shared" si="17"/>
        <v>3375</v>
      </c>
      <c r="U54" s="143">
        <f t="shared" si="18"/>
        <v>3375</v>
      </c>
      <c r="V54" s="152">
        <f t="shared" si="19"/>
        <v>379.70833333333337</v>
      </c>
      <c r="W54" s="153">
        <f t="shared" si="20"/>
        <v>3.572916666666667</v>
      </c>
      <c r="X54" s="154" t="str">
        <f t="shared" si="21"/>
        <v>n/a</v>
      </c>
      <c r="Y54" s="154" t="str">
        <f t="shared" si="22"/>
        <v>n/a</v>
      </c>
      <c r="Z54" s="154">
        <f t="shared" si="23"/>
        <v>48.214285714285715</v>
      </c>
      <c r="AA54" s="155">
        <f t="shared" si="24"/>
        <v>51.78720238095238</v>
      </c>
      <c r="AB54" s="103">
        <v>0.5</v>
      </c>
      <c r="AC54" s="87" t="s">
        <v>65</v>
      </c>
      <c r="AD54" s="610">
        <v>0.04</v>
      </c>
      <c r="AE54" s="136" t="s">
        <v>651</v>
      </c>
      <c r="AF54" s="576">
        <v>430</v>
      </c>
      <c r="AG54" s="245" t="s">
        <v>60</v>
      </c>
      <c r="AH54" s="308"/>
      <c r="AI54" s="308"/>
      <c r="AJ54" s="309"/>
      <c r="AK54" s="309"/>
      <c r="AL54" s="245"/>
      <c r="AM54" s="117"/>
      <c r="AN54" s="135"/>
      <c r="AO54" s="117">
        <v>35</v>
      </c>
      <c r="AP54" s="109" t="s">
        <v>61</v>
      </c>
      <c r="AQ54" s="316"/>
      <c r="AR54" s="109"/>
      <c r="AS54" s="129" t="s">
        <v>496</v>
      </c>
      <c r="AT54" s="120">
        <f t="shared" si="25"/>
        <v>0.6</v>
      </c>
      <c r="AU54" s="131" t="str">
        <f t="shared" si="153"/>
        <v>RIVM  general fact sheet</v>
      </c>
      <c r="AV54" s="131">
        <f t="shared" si="140"/>
        <v>0.9072229639503482</v>
      </c>
      <c r="AW54" s="156">
        <f t="shared" si="152"/>
        <v>20</v>
      </c>
      <c r="AX54" s="156" t="str">
        <f t="shared" si="154"/>
        <v>TRA default</v>
      </c>
      <c r="AY54" s="213">
        <v>0.33</v>
      </c>
      <c r="AZ54" s="246" t="s">
        <v>62</v>
      </c>
      <c r="BA54" s="125">
        <f t="shared" si="141"/>
        <v>35.83333333333334</v>
      </c>
      <c r="BB54" s="125">
        <f t="shared" si="142"/>
        <v>1.4333333333333338</v>
      </c>
      <c r="BC54" s="120">
        <f t="shared" si="143"/>
        <v>5</v>
      </c>
      <c r="BD54" s="120" t="str">
        <f t="shared" si="144"/>
        <v>n/a</v>
      </c>
      <c r="BE54" s="120" t="str">
        <f t="shared" si="145"/>
        <v>n/a</v>
      </c>
      <c r="BF54" s="120">
        <f t="shared" si="146"/>
        <v>5.98143440419514</v>
      </c>
      <c r="BG54" s="120">
        <f t="shared" si="28"/>
        <v>793.8200934565547</v>
      </c>
      <c r="BH54" s="120">
        <f t="shared" si="29"/>
      </c>
      <c r="BI54" s="120">
        <f t="shared" si="147"/>
        <v>10.915026285027627</v>
      </c>
      <c r="BJ54" s="158">
        <f t="shared" si="30"/>
        <v>0.4366010514011051</v>
      </c>
      <c r="BK54" s="159">
        <f t="shared" si="31"/>
        <v>41.814767737528484</v>
      </c>
      <c r="BL54" s="160" t="str">
        <f t="shared" si="32"/>
        <v>n/a</v>
      </c>
      <c r="BM54" s="161" t="str">
        <f t="shared" si="33"/>
        <v>n/a</v>
      </c>
      <c r="BN54" s="161">
        <f t="shared" si="34"/>
        <v>1.7916666666666672</v>
      </c>
      <c r="BO54" s="162" t="str">
        <f t="shared" si="35"/>
        <v>n/a</v>
      </c>
      <c r="BP54" s="161">
        <f t="shared" si="36"/>
        <v>0.1559289469289661</v>
      </c>
      <c r="BQ54" s="162">
        <f t="shared" si="37"/>
        <v>1.9475956135956334</v>
      </c>
      <c r="BR54" s="161">
        <f t="shared" si="38"/>
        <v>0.07166666666666668</v>
      </c>
      <c r="BS54" s="161" t="str">
        <f t="shared" si="39"/>
        <v>n/a</v>
      </c>
      <c r="BT54" s="161">
        <f t="shared" si="40"/>
        <v>0.0062371578771586444</v>
      </c>
      <c r="BU54" s="161">
        <f t="shared" si="41"/>
        <v>0.07790382454382533</v>
      </c>
      <c r="BV54" s="163" t="str">
        <f t="shared" si="42"/>
        <v>Unless otherwise stated, covers concentrations up to 50% [ConsOC1]; covers use up to 11 days/year[ConsOC3]; covers use up to 1 time/on day of use[ConsOC4]; covers skin contact area up to 430,00 cm2 [ConsOC5]; for each use event, covers use amounts up to 35g [ConsOC2]; covers use under typical household ventilation [ConsOC8]; covers use in room size of 20m3[ConsOC11]; for each use event, covers exposure up to 0,33hr/event[ConsOC14]; </v>
      </c>
      <c r="BW54" s="126" t="str">
        <f t="shared" si="43"/>
        <v>No specific RMMs identified beyond those OCs stated</v>
      </c>
      <c r="BX54" s="125" t="str">
        <f t="shared" si="44"/>
        <v>Based upon infrequent use (&lt;365 days/yr)</v>
      </c>
      <c r="BY54" s="120">
        <f t="shared" si="45"/>
        <v>0.07166666666666668</v>
      </c>
      <c r="BZ54" s="120" t="str">
        <f t="shared" si="46"/>
        <v>n/a</v>
      </c>
      <c r="CA54" s="120">
        <f t="shared" si="47"/>
        <v>0.0062371578771586444</v>
      </c>
      <c r="CB54" s="164">
        <f t="shared" si="48"/>
        <v>0.07790382454382533</v>
      </c>
      <c r="CC54" s="120">
        <f t="shared" si="49"/>
        <v>5</v>
      </c>
      <c r="CD54" s="120" t="str">
        <f t="shared" si="50"/>
        <v>n/a</v>
      </c>
      <c r="CE54" s="159">
        <f t="shared" si="51"/>
        <v>0.4366010514011051</v>
      </c>
      <c r="CF54" s="199"/>
      <c r="CG54" s="145" t="str">
        <f t="shared" si="135"/>
        <v>PC31:Polishes and wax blends</v>
      </c>
      <c r="CH54" s="118" t="str">
        <f>E54</f>
        <v>Polishes, spray (furniture, shoes)</v>
      </c>
      <c r="CI54" s="120">
        <f t="shared" si="52"/>
        <v>1.4333333333333338</v>
      </c>
      <c r="CJ54" s="120" t="str">
        <f t="shared" si="53"/>
        <v>n/a</v>
      </c>
      <c r="CK54" s="120">
        <f t="shared" si="54"/>
        <v>0.4366010514011051</v>
      </c>
      <c r="CL54" s="124"/>
      <c r="CM54" s="165">
        <f t="shared" si="55"/>
        <v>14.333333333333337</v>
      </c>
      <c r="CN54" s="165" t="str">
        <f t="shared" si="56"/>
        <v>n/a</v>
      </c>
      <c r="CO54" s="165">
        <f t="shared" si="57"/>
        <v>0.8732021028022102</v>
      </c>
      <c r="CP54" s="598">
        <f>IF(SUM(CM54:CO54)&lt;$BZ$4,"",adjustparameter($AB54,0.01,SUM(CM54,CN54,CO54)/$AB54,$BZ$4))</f>
        <v>0.029592539463700416</v>
      </c>
      <c r="CQ54" s="166">
        <f t="shared" si="58"/>
        <v>0.9408149210725991</v>
      </c>
      <c r="CR54" s="599">
        <f>IF($CK54="n/a","",IF(SUM(CM54:CO54)&lt;$BZ$4,"",adjustparameter($AO54,0.5*$AO54,SUM(SUM(CO54)*CP54/$AB54/$AO54),($BZ$4-SUM(CM54:CN54)*CP54/$AB54))))</f>
        <v>34.99999999999997</v>
      </c>
      <c r="CS54" s="166">
        <f t="shared" si="59"/>
        <v>8.120488408686859E-16</v>
      </c>
      <c r="CT54" s="124"/>
      <c r="CU54" s="166">
        <f t="shared" si="60"/>
      </c>
      <c r="CV54" s="124"/>
      <c r="CW54" s="166">
        <f t="shared" si="61"/>
      </c>
      <c r="CX54" s="595">
        <f t="shared" si="62"/>
      </c>
      <c r="CY54" s="165">
        <f>IF(CX54="","",VLOOKUP(CX54,Picklist!$C$2:$E$5,3))</f>
      </c>
      <c r="CZ54" s="594">
        <f t="shared" si="63"/>
      </c>
      <c r="DA54" s="165"/>
      <c r="DB54" s="166">
        <f t="shared" si="64"/>
      </c>
      <c r="DC54" s="165">
        <f t="shared" si="65"/>
        <v>0.08483194646260796</v>
      </c>
      <c r="DD54" s="165" t="str">
        <f t="shared" si="66"/>
        <v>n/a</v>
      </c>
      <c r="DE54" s="165">
        <f t="shared" si="67"/>
        <v>0.025840267686960593</v>
      </c>
      <c r="DF54" s="165">
        <f t="shared" si="68"/>
        <v>0.004241597323130398</v>
      </c>
      <c r="DG54" s="165" t="str">
        <f t="shared" si="69"/>
        <v>n/a</v>
      </c>
      <c r="DH54" s="165">
        <f t="shared" si="70"/>
        <v>0.0003691466812422942</v>
      </c>
      <c r="DI54" s="167">
        <f t="shared" si="71"/>
        <v>0.004610744004372692</v>
      </c>
      <c r="DJ54" s="165">
        <f t="shared" si="72"/>
        <v>0.8483194646260789</v>
      </c>
      <c r="DK54" s="165" t="str">
        <f t="shared" si="148"/>
        <v>n/a</v>
      </c>
      <c r="DL54" s="165">
        <f t="shared" si="73"/>
        <v>0.051680535373921144</v>
      </c>
      <c r="DM54" s="168">
        <f t="shared" si="74"/>
        <v>0.9</v>
      </c>
      <c r="DN54" s="169"/>
      <c r="DO54" s="165">
        <f t="shared" si="75"/>
        <v>1.4333333333333338</v>
      </c>
      <c r="DP54" s="165" t="str">
        <f t="shared" si="76"/>
        <v>n/a</v>
      </c>
      <c r="DQ54" s="165">
        <f t="shared" si="77"/>
        <v>0.08732021028022102</v>
      </c>
      <c r="DR54" s="598">
        <f>IF(SUM(DO54:DQ54)&lt;$BZ$4,"",adjustparameter($AB54,0.01,SUM(DO54,DP54,DQ54)/$AB54,$BZ$4))</f>
        <v>0.2959253946370041</v>
      </c>
      <c r="DS54" s="166">
        <f t="shared" si="78"/>
        <v>0.40814921072599175</v>
      </c>
      <c r="DT54" s="597">
        <f>IF($CK54="n/a","",IF(SUM(DO54:DQ54)&lt;$BZ$4,"",adjustparameter($AO54,0.5*$AO54,SUM(SUM(DQ54)*DR54/$AB54/$AO54),($BZ$4-SUM(DO54:DP54)*DR54/$AB54))))</f>
      </c>
      <c r="DU54" s="166">
        <f t="shared" si="8"/>
      </c>
      <c r="DV54" s="124"/>
      <c r="DW54" s="166">
        <f t="shared" si="79"/>
      </c>
      <c r="DX54" s="124"/>
      <c r="DY54" s="166">
        <f t="shared" si="80"/>
      </c>
      <c r="DZ54" s="595">
        <f t="shared" si="81"/>
      </c>
      <c r="EA54" s="165">
        <f>IF(DZ54="","",VLOOKUP(DZ54,Picklist!$C$2:$E$5,3))</f>
      </c>
      <c r="EB54" s="594">
        <f t="shared" si="82"/>
      </c>
      <c r="EC54" s="165"/>
      <c r="ED54" s="166">
        <f t="shared" si="83"/>
      </c>
      <c r="EE54" s="593">
        <f t="shared" si="84"/>
        <v>0.8483194646260788</v>
      </c>
      <c r="EF54" s="594" t="str">
        <f t="shared" si="85"/>
        <v>n/a</v>
      </c>
      <c r="EG54" s="594">
        <f t="shared" si="86"/>
        <v>0.2584026768696059</v>
      </c>
      <c r="EH54" s="165">
        <f t="shared" si="87"/>
        <v>0.04241597323130394</v>
      </c>
      <c r="EI54" s="165" t="str">
        <f t="shared" si="88"/>
        <v>n/a</v>
      </c>
      <c r="EJ54" s="165">
        <f t="shared" si="89"/>
        <v>0.003691466812422941</v>
      </c>
      <c r="EK54" s="167">
        <f t="shared" si="90"/>
        <v>0.046107440043726876</v>
      </c>
      <c r="EL54" s="165">
        <f t="shared" si="91"/>
        <v>0.8483194646260788</v>
      </c>
      <c r="EM54" s="165" t="str">
        <f t="shared" si="149"/>
        <v>n/a</v>
      </c>
      <c r="EN54" s="165">
        <f t="shared" si="92"/>
        <v>0.05168053537392118</v>
      </c>
      <c r="EO54" s="168">
        <f t="shared" si="93"/>
        <v>0.8999999999999999</v>
      </c>
      <c r="EP54" s="169"/>
      <c r="EQ54" s="165">
        <f t="shared" si="94"/>
        <v>0.28666666666666674</v>
      </c>
      <c r="ER54" s="165" t="str">
        <f t="shared" si="95"/>
        <v>n/a</v>
      </c>
      <c r="ES54" s="165">
        <f t="shared" si="96"/>
        <v>0.017464042056044203</v>
      </c>
      <c r="ET54" s="596">
        <f>IF(SUM(EQ54:ES54)&lt;$BZ$4,"",adjustparameter($AB54,0.01,SUM(EQ54,ER54,ES54)/$AB54,$BZ$4))</f>
      </c>
      <c r="EU54" s="166">
        <f t="shared" si="97"/>
      </c>
      <c r="EV54" s="597">
        <f>IF($CK54="n/a","",IF(SUM(EQ54:ES54)&lt;$BZ$4,"",adjustparameter($AO54,0.5*$AO54,SUM(SUM(ES54)*ET54/$AB54/$AO54),($BZ$4-SUM(EQ54:ER54)*ET54/$AB54))))</f>
      </c>
      <c r="EW54" s="166">
        <f t="shared" si="98"/>
      </c>
      <c r="EX54" s="124"/>
      <c r="EY54" s="166">
        <f t="shared" si="99"/>
      </c>
      <c r="EZ54" s="124"/>
      <c r="FA54" s="166">
        <f t="shared" si="100"/>
      </c>
      <c r="FB54" s="595">
        <f t="shared" si="101"/>
      </c>
      <c r="FC54" s="165">
        <f>IF(FB54="","",VLOOKUP(FB54,Picklist!$C$2:$E$5,3))</f>
      </c>
      <c r="FD54" s="594">
        <f t="shared" si="102"/>
      </c>
      <c r="FE54" s="165"/>
      <c r="FF54" s="166">
        <f t="shared" si="10"/>
      </c>
      <c r="FG54" s="593">
        <f t="shared" si="103"/>
        <v>1.4333333333333338</v>
      </c>
      <c r="FH54" s="594" t="str">
        <f t="shared" si="104"/>
        <v>n/a</v>
      </c>
      <c r="FI54" s="594">
        <f t="shared" si="105"/>
        <v>0.4366010514011051</v>
      </c>
      <c r="FJ54" s="165">
        <f t="shared" si="106"/>
        <v>0.07166666666666668</v>
      </c>
      <c r="FK54" s="165" t="str">
        <f t="shared" si="107"/>
        <v>n/a</v>
      </c>
      <c r="FL54" s="165">
        <f t="shared" si="108"/>
        <v>0.0062371578771586444</v>
      </c>
      <c r="FM54" s="167">
        <f t="shared" si="109"/>
        <v>0.07790382454382533</v>
      </c>
      <c r="FN54" s="165">
        <f t="shared" si="110"/>
        <v>0.28666666666666674</v>
      </c>
      <c r="FO54" s="165" t="str">
        <f t="shared" si="150"/>
        <v>n/a</v>
      </c>
      <c r="FP54" s="165">
        <f t="shared" si="111"/>
        <v>0.017464042056044203</v>
      </c>
      <c r="FQ54" s="168">
        <f t="shared" si="112"/>
        <v>0.3041307087227109</v>
      </c>
      <c r="FR54" s="169"/>
      <c r="FS54" s="165">
        <f t="shared" si="113"/>
        <v>0.07166666666666668</v>
      </c>
      <c r="FT54" s="165" t="str">
        <f t="shared" si="114"/>
        <v>n/a</v>
      </c>
      <c r="FU54" s="165">
        <f t="shared" si="115"/>
        <v>0.004366010514011051</v>
      </c>
      <c r="FV54" s="596">
        <f>IF(SUM(FS54:FU54)&lt;$BZ$4,"",adjustparameter($AB54,0.01,SUM(FS54,FT54,FU54)/$AB54,$BZ$4))</f>
      </c>
      <c r="FW54" s="166">
        <f t="shared" si="116"/>
      </c>
      <c r="FX54" s="597">
        <f>IF($CK54="n/a","",IF(SUM(FS54:FU54)&lt;$BZ$4,"",adjustparameter($AO54,0.5*$AO54,SUM(SUM(FU54)*FV54/$AB54/$AO54),($BZ$4-SUM(FS54:FT54)*FV54/$AB54))))</f>
      </c>
      <c r="FY54" s="166">
        <f t="shared" si="117"/>
      </c>
      <c r="FZ54" s="124"/>
      <c r="GA54" s="166">
        <f t="shared" si="118"/>
      </c>
      <c r="GB54" s="124"/>
      <c r="GC54" s="166">
        <f t="shared" si="119"/>
      </c>
      <c r="GD54" s="595">
        <f t="shared" si="120"/>
      </c>
      <c r="GE54" s="165">
        <f>IF(GD54="","",VLOOKUP(GD54,Picklist!$C$2:$E$5,3))</f>
      </c>
      <c r="GF54" s="594">
        <f t="shared" si="121"/>
      </c>
      <c r="GG54" s="165"/>
      <c r="GH54" s="166">
        <f t="shared" si="12"/>
      </c>
      <c r="GI54" s="593">
        <f t="shared" si="122"/>
        <v>1.4333333333333338</v>
      </c>
      <c r="GJ54" s="594" t="str">
        <f t="shared" si="123"/>
        <v>n/a</v>
      </c>
      <c r="GK54" s="594">
        <f t="shared" si="124"/>
        <v>0.4366010514011051</v>
      </c>
      <c r="GL54" s="165">
        <f t="shared" si="125"/>
        <v>0.07166666666666668</v>
      </c>
      <c r="GM54" s="165" t="str">
        <f t="shared" si="126"/>
        <v>n/a</v>
      </c>
      <c r="GN54" s="165">
        <f t="shared" si="127"/>
        <v>0.0062371578771586444</v>
      </c>
      <c r="GO54" s="167">
        <f t="shared" si="128"/>
        <v>0.07790382454382533</v>
      </c>
      <c r="GP54" s="165">
        <f t="shared" si="129"/>
        <v>0.07166666666666668</v>
      </c>
      <c r="GQ54" s="165" t="str">
        <f t="shared" si="151"/>
        <v>n/a</v>
      </c>
      <c r="GR54" s="165">
        <f t="shared" si="130"/>
        <v>0.004366010514011051</v>
      </c>
      <c r="GS54" s="170">
        <f t="shared" si="131"/>
        <v>0.07603267718067773</v>
      </c>
      <c r="GT54" s="139"/>
      <c r="GU54" s="139"/>
      <c r="GV54" s="139"/>
      <c r="GW54" s="139"/>
      <c r="GX54" s="139"/>
      <c r="GY54" s="139"/>
      <c r="GZ54" s="139"/>
      <c r="HA54" s="139"/>
      <c r="HB54" s="139"/>
      <c r="HC54" s="139"/>
      <c r="HD54" s="139"/>
      <c r="HE54" s="139"/>
      <c r="HF54" s="139"/>
      <c r="HG54" s="139"/>
      <c r="HH54" s="139"/>
      <c r="HI54" s="139"/>
      <c r="HJ54" s="139"/>
      <c r="HK54" s="139"/>
      <c r="HL54" s="139"/>
      <c r="HM54" s="139"/>
      <c r="HN54" s="139"/>
      <c r="HO54" s="139"/>
      <c r="HP54" s="139"/>
      <c r="HQ54" s="139"/>
      <c r="HR54" s="139"/>
      <c r="HS54" s="139"/>
      <c r="HT54" s="139"/>
      <c r="HU54" s="139"/>
      <c r="HV54" s="139"/>
      <c r="HW54" s="139"/>
      <c r="HX54" s="139"/>
      <c r="HY54" s="139"/>
      <c r="HZ54" s="139"/>
      <c r="IA54" s="139"/>
      <c r="IB54" s="139"/>
      <c r="IC54" s="139"/>
      <c r="ID54" s="139"/>
      <c r="IE54" s="139"/>
      <c r="IF54" s="139"/>
      <c r="IG54" s="139"/>
      <c r="IH54" s="139"/>
      <c r="II54" s="139"/>
      <c r="IJ54" s="139"/>
      <c r="IK54" s="139"/>
      <c r="IL54" s="139"/>
      <c r="IM54" s="139"/>
      <c r="IN54" s="139"/>
    </row>
    <row r="55" spans="1:248" s="171" customFormat="1" ht="118.5">
      <c r="A55" s="139"/>
      <c r="B55" s="145"/>
      <c r="C55" s="187" t="s">
        <v>387</v>
      </c>
      <c r="D55" s="188" t="s">
        <v>243</v>
      </c>
      <c r="E55" s="189"/>
      <c r="F55" s="190">
        <v>0.1</v>
      </c>
      <c r="G55" s="191" t="s">
        <v>388</v>
      </c>
      <c r="H55" s="191"/>
      <c r="I55" s="191" t="s">
        <v>388</v>
      </c>
      <c r="J55" s="191" t="s">
        <v>139</v>
      </c>
      <c r="K55" s="191">
        <v>1</v>
      </c>
      <c r="L55" s="191">
        <v>857.5</v>
      </c>
      <c r="M55" s="191"/>
      <c r="N55" s="118">
        <v>115</v>
      </c>
      <c r="O55" s="118">
        <v>20</v>
      </c>
      <c r="P55" s="140">
        <v>1</v>
      </c>
      <c r="Q55" s="151">
        <f t="shared" si="14"/>
        <v>14.291666666666666</v>
      </c>
      <c r="R55" s="132" t="str">
        <f t="shared" si="15"/>
        <v>n/a</v>
      </c>
      <c r="S55" s="143">
        <f t="shared" si="16"/>
        <v>13.129166666666666</v>
      </c>
      <c r="T55" s="143">
        <f t="shared" si="17"/>
        <v>575</v>
      </c>
      <c r="U55" s="143">
        <f t="shared" si="18"/>
        <v>575</v>
      </c>
      <c r="V55" s="152">
        <f t="shared" si="19"/>
        <v>27.420833333333334</v>
      </c>
      <c r="W55" s="153">
        <f t="shared" si="20"/>
        <v>0.7145833333333333</v>
      </c>
      <c r="X55" s="154" t="str">
        <f t="shared" si="21"/>
        <v>n/a</v>
      </c>
      <c r="Y55" s="154" t="str">
        <f t="shared" si="22"/>
        <v>n/a</v>
      </c>
      <c r="Z55" s="154">
        <f t="shared" si="23"/>
        <v>8.214285714285714</v>
      </c>
      <c r="AA55" s="155">
        <f t="shared" si="24"/>
        <v>8.928869047619047</v>
      </c>
      <c r="AB55" s="81">
        <v>0.1</v>
      </c>
      <c r="AC55" s="81" t="s">
        <v>327</v>
      </c>
      <c r="AD55" s="156">
        <v>1</v>
      </c>
      <c r="AE55" s="118" t="s">
        <v>645</v>
      </c>
      <c r="AF55" s="81">
        <v>857.5</v>
      </c>
      <c r="AG55" s="118" t="s">
        <v>337</v>
      </c>
      <c r="AH55" s="81">
        <v>0.01</v>
      </c>
      <c r="AI55" s="81" t="s">
        <v>336</v>
      </c>
      <c r="AJ55" s="95"/>
      <c r="AK55" s="95"/>
      <c r="AL55" s="118"/>
      <c r="AM55" s="81"/>
      <c r="AN55" s="118"/>
      <c r="AO55" s="81">
        <v>115</v>
      </c>
      <c r="AP55" s="114" t="s">
        <v>338</v>
      </c>
      <c r="AQ55" s="87"/>
      <c r="AR55" s="81"/>
      <c r="AS55" s="118" t="s">
        <v>496</v>
      </c>
      <c r="AT55" s="120">
        <f t="shared" si="25"/>
        <v>0.6</v>
      </c>
      <c r="AU55" s="131" t="str">
        <f t="shared" si="153"/>
        <v>RIVM  general fact sheet</v>
      </c>
      <c r="AV55" s="131">
        <f t="shared" si="140"/>
        <v>0.751980606509956</v>
      </c>
      <c r="AW55" s="156">
        <f t="shared" si="152"/>
        <v>20</v>
      </c>
      <c r="AX55" s="156" t="str">
        <f t="shared" si="154"/>
        <v>TRA default</v>
      </c>
      <c r="AY55" s="118">
        <v>1</v>
      </c>
      <c r="AZ55" s="200" t="s">
        <v>339</v>
      </c>
      <c r="BA55" s="125">
        <f t="shared" si="141"/>
        <v>0.14291666666666666</v>
      </c>
      <c r="BB55" s="125">
        <f t="shared" si="142"/>
        <v>0.14291666666666666</v>
      </c>
      <c r="BC55" s="120">
        <f t="shared" si="143"/>
        <v>0.01</v>
      </c>
      <c r="BD55" s="120" t="str">
        <f t="shared" si="144"/>
        <v>n/a</v>
      </c>
      <c r="BE55" s="120" t="str">
        <f t="shared" si="145"/>
        <v>n/a</v>
      </c>
      <c r="BF55" s="120">
        <f t="shared" si="146"/>
        <v>9.872878712970298</v>
      </c>
      <c r="BG55" s="120">
        <f t="shared" si="28"/>
        <v>432.3888487432247</v>
      </c>
      <c r="BH55" s="120">
        <f t="shared" si="29"/>
      </c>
      <c r="BI55" s="120">
        <f t="shared" si="147"/>
        <v>18.016202030967694</v>
      </c>
      <c r="BJ55" s="158">
        <f t="shared" si="30"/>
        <v>18.016202030967694</v>
      </c>
      <c r="BK55" s="159">
        <f t="shared" si="31"/>
        <v>10.015795379636964</v>
      </c>
      <c r="BL55" s="160" t="str">
        <f t="shared" si="32"/>
        <v>n/a</v>
      </c>
      <c r="BM55" s="161" t="str">
        <f t="shared" si="33"/>
        <v>n/a</v>
      </c>
      <c r="BN55" s="161">
        <f t="shared" si="34"/>
        <v>0.007145833333333333</v>
      </c>
      <c r="BO55" s="162" t="str">
        <f t="shared" si="35"/>
        <v>n/a</v>
      </c>
      <c r="BP55" s="161">
        <f t="shared" si="36"/>
        <v>0.2573743147281099</v>
      </c>
      <c r="BQ55" s="162">
        <f t="shared" si="37"/>
        <v>0.26452014806144325</v>
      </c>
      <c r="BR55" s="161">
        <f t="shared" si="38"/>
        <v>0.007145833333333333</v>
      </c>
      <c r="BS55" s="161" t="str">
        <f t="shared" si="39"/>
        <v>n/a</v>
      </c>
      <c r="BT55" s="161">
        <f t="shared" si="40"/>
        <v>0.2573743147281099</v>
      </c>
      <c r="BU55" s="161">
        <f t="shared" si="41"/>
        <v>0.26452014806144325</v>
      </c>
      <c r="BV55" s="163" t="str">
        <f t="shared" si="42"/>
        <v>Unless otherwise stated, covers concentrations up to 10% [ConsOC1]; covers use up to 364 days/year[ConsOC3]; covers use up to 1 time/on day of use[ConsOC4]; covers skin contact area up to 857,50 cm2 [ConsOC5]; for each use event, covers use amounts up to 115g [ConsOC2]; covers use under typical household ventilation [ConsOC8]; covers use in room size of 20m3[ConsOC11]; for each use event, covers exposure up to 1,00hr/event[ConsOC14]; </v>
      </c>
      <c r="BW55" s="126" t="str">
        <f t="shared" si="43"/>
        <v>No specific RMMs identified beyond those OCs stated</v>
      </c>
      <c r="BX55" s="125" t="str">
        <f t="shared" si="44"/>
        <v>Based upon daily use</v>
      </c>
      <c r="BY55" s="120">
        <f t="shared" si="45"/>
        <v>0.007145833333333333</v>
      </c>
      <c r="BZ55" s="120" t="str">
        <f t="shared" si="46"/>
        <v>n/a</v>
      </c>
      <c r="CA55" s="120">
        <f t="shared" si="47"/>
        <v>0.2573743147281099</v>
      </c>
      <c r="CB55" s="164">
        <f t="shared" si="48"/>
        <v>0.26452014806144325</v>
      </c>
      <c r="CC55" s="120">
        <f t="shared" si="49"/>
        <v>0.14291666666666666</v>
      </c>
      <c r="CD55" s="120" t="str">
        <f t="shared" si="50"/>
        <v>n/a</v>
      </c>
      <c r="CE55" s="159">
        <f t="shared" si="51"/>
        <v>18.016202030967694</v>
      </c>
      <c r="CF55" s="199"/>
      <c r="CG55" s="195" t="str">
        <f t="shared" si="135"/>
        <v>PC34_n: Textile dyes, finishing and impregnating products</v>
      </c>
      <c r="CH55" s="129"/>
      <c r="CI55" s="120">
        <f t="shared" si="52"/>
        <v>0.14291666666666666</v>
      </c>
      <c r="CJ55" s="120" t="str">
        <f t="shared" si="53"/>
        <v>n/a</v>
      </c>
      <c r="CK55" s="120">
        <f t="shared" si="54"/>
        <v>18.016202030967694</v>
      </c>
      <c r="CL55" s="124"/>
      <c r="CM55" s="165">
        <f t="shared" si="55"/>
        <v>1.4291666666666665</v>
      </c>
      <c r="CN55" s="165" t="str">
        <f t="shared" si="56"/>
        <v>n/a</v>
      </c>
      <c r="CO55" s="165">
        <f t="shared" si="57"/>
        <v>36.03240406193539</v>
      </c>
      <c r="CP55" s="598">
        <f>IF(SUM(CM55:CO55)&lt;$BZ$4,"",adjustparameter($AB55,0.01,SUM(CM55,CN55,CO55)/$AB55,$BZ$4))</f>
        <v>0.01</v>
      </c>
      <c r="CQ55" s="166">
        <f t="shared" si="58"/>
        <v>0.9</v>
      </c>
      <c r="CR55" s="599">
        <f>IF($CK55="n/a","",IF(SUM(CM55:CO55)&lt;$BZ$4,"",adjustparameter($AO55,0.5*$AO55,SUM(SUM(CO55)*CP55/$AB55/$AO55),($BZ$4-SUM(CM55:CN55)*CP55/$AB55))))</f>
        <v>57.5</v>
      </c>
      <c r="CS55" s="166">
        <f t="shared" si="59"/>
        <v>0.5</v>
      </c>
      <c r="CT55" s="124"/>
      <c r="CU55" s="166">
        <f t="shared" si="60"/>
      </c>
      <c r="CV55" s="124"/>
      <c r="CW55" s="166">
        <f t="shared" si="61"/>
      </c>
      <c r="CX55" s="595" t="str">
        <f t="shared" si="62"/>
        <v>indoor, ventilation</v>
      </c>
      <c r="CY55" s="165">
        <f>IF(CX55="","",VLOOKUP(CX55,Picklist!$C$2:$E$5,3))</f>
        <v>2.5</v>
      </c>
      <c r="CZ55" s="594">
        <f t="shared" si="63"/>
        <v>0.5117347477157587</v>
      </c>
      <c r="DA55" s="165"/>
      <c r="DB55" s="166">
        <f t="shared" si="64"/>
      </c>
      <c r="DC55" s="165">
        <f t="shared" si="65"/>
        <v>0.014291666666666663</v>
      </c>
      <c r="DD55" s="165" t="str">
        <f t="shared" si="66"/>
        <v>n/a</v>
      </c>
      <c r="DE55" s="165">
        <f t="shared" si="67"/>
        <v>0.439834271492715</v>
      </c>
      <c r="DF55" s="165">
        <f t="shared" si="68"/>
        <v>0.0007145833333333331</v>
      </c>
      <c r="DG55" s="165" t="str">
        <f t="shared" si="69"/>
        <v>n/a</v>
      </c>
      <c r="DH55" s="165">
        <f t="shared" si="70"/>
        <v>0.006283346735610214</v>
      </c>
      <c r="DI55" s="167">
        <f t="shared" si="71"/>
        <v>0.0069979300689435465</v>
      </c>
      <c r="DJ55" s="165">
        <f t="shared" si="72"/>
        <v>0.14291666666666664</v>
      </c>
      <c r="DK55" s="165" t="str">
        <f t="shared" si="148"/>
        <v>n/a</v>
      </c>
      <c r="DL55" s="165">
        <f t="shared" si="73"/>
        <v>0.8796685429854301</v>
      </c>
      <c r="DM55" s="168">
        <f t="shared" si="74"/>
        <v>1.0225852096520966</v>
      </c>
      <c r="DN55" s="169"/>
      <c r="DO55" s="165">
        <f t="shared" si="75"/>
        <v>0.14291666666666666</v>
      </c>
      <c r="DP55" s="165" t="str">
        <f t="shared" si="76"/>
        <v>n/a</v>
      </c>
      <c r="DQ55" s="165">
        <f t="shared" si="77"/>
        <v>3.603240406193539</v>
      </c>
      <c r="DR55" s="598">
        <f>IF(SUM(DO55:DQ55)&lt;$BZ$4,"",adjustparameter($AB55,0.01,SUM(DO55,DP55,DQ55)/$AB55,$BZ$4))</f>
        <v>0.02402461996375519</v>
      </c>
      <c r="DS55" s="166">
        <f t="shared" si="78"/>
        <v>0.7597538003624482</v>
      </c>
      <c r="DT55" s="597">
        <f>IF($CK55="n/a","",IF(SUM(DO55:DQ55)&lt;$BZ$4,"",adjustparameter($AO55,0.5*$AO55,SUM(SUM(DQ55)*DR55/$AB55/$AO55),($BZ$4-SUM(DO55:DP55)*DR55/$AB55))))</f>
      </c>
      <c r="DU55" s="166">
        <f t="shared" si="8"/>
      </c>
      <c r="DV55" s="124"/>
      <c r="DW55" s="166">
        <f t="shared" si="79"/>
      </c>
      <c r="DX55" s="124"/>
      <c r="DY55" s="166">
        <f t="shared" si="80"/>
      </c>
      <c r="DZ55" s="595">
        <f t="shared" si="81"/>
      </c>
      <c r="EA55" s="165">
        <f>IF(DZ55="","",VLOOKUP(DZ55,Picklist!$C$2:$E$5,3))</f>
      </c>
      <c r="EB55" s="594">
        <f t="shared" si="82"/>
      </c>
      <c r="EC55" s="197"/>
      <c r="ED55" s="166">
        <f t="shared" si="83"/>
      </c>
      <c r="EE55" s="593">
        <f t="shared" si="84"/>
        <v>0.03433518603153344</v>
      </c>
      <c r="EF55" s="594" t="str">
        <f t="shared" si="85"/>
        <v>n/a</v>
      </c>
      <c r="EG55" s="594">
        <f t="shared" si="86"/>
        <v>4.32832406984233</v>
      </c>
      <c r="EH55" s="165">
        <f t="shared" si="87"/>
        <v>0.001716759301576672</v>
      </c>
      <c r="EI55" s="165" t="str">
        <f t="shared" si="88"/>
        <v>n/a</v>
      </c>
      <c r="EJ55" s="165">
        <f t="shared" si="89"/>
        <v>0.06183320099774758</v>
      </c>
      <c r="EK55" s="167">
        <f t="shared" si="90"/>
        <v>0.06354996029932425</v>
      </c>
      <c r="EL55" s="165">
        <f t="shared" si="91"/>
        <v>0.03433518603153346</v>
      </c>
      <c r="EM55" s="165" t="str">
        <f t="shared" si="149"/>
        <v>n/a</v>
      </c>
      <c r="EN55" s="165">
        <f t="shared" si="92"/>
        <v>0.8656648139684665</v>
      </c>
      <c r="EO55" s="168">
        <f t="shared" si="93"/>
        <v>0.8999999999999999</v>
      </c>
      <c r="EP55" s="169"/>
      <c r="EQ55" s="165">
        <f t="shared" si="94"/>
        <v>0.028583333333333332</v>
      </c>
      <c r="ER55" s="165" t="str">
        <f t="shared" si="95"/>
        <v>n/a</v>
      </c>
      <c r="ES55" s="165">
        <f t="shared" si="96"/>
        <v>0.7206480812387077</v>
      </c>
      <c r="ET55" s="596">
        <f>IF(SUM(EQ55:ES55)&lt;$BZ$4,"",adjustparameter($AB55,0.01,SUM(EQ55,ER55,ES55)/$AB55,$BZ$4))</f>
      </c>
      <c r="EU55" s="166">
        <f t="shared" si="97"/>
      </c>
      <c r="EV55" s="597">
        <f>IF($CK55="n/a","",IF(SUM(EQ55:ES55)&lt;$BZ$4,"",adjustparameter($AO55,0.5*$AO55,SUM(SUM(ES55)*ET55/$AB55/$AO55),($BZ$4-SUM(EQ55:ER55)*ET55/$AB55))))</f>
      </c>
      <c r="EW55" s="166">
        <f t="shared" si="98"/>
      </c>
      <c r="EX55" s="124"/>
      <c r="EY55" s="166">
        <f t="shared" si="99"/>
      </c>
      <c r="EZ55" s="124"/>
      <c r="FA55" s="166">
        <f t="shared" si="100"/>
      </c>
      <c r="FB55" s="595">
        <f t="shared" si="101"/>
      </c>
      <c r="FC55" s="165">
        <f>IF(FB55="","",VLOOKUP(FB55,Picklist!$C$2:$E$5,3))</f>
      </c>
      <c r="FD55" s="594">
        <f t="shared" si="102"/>
      </c>
      <c r="FE55" s="197"/>
      <c r="FF55" s="166">
        <f t="shared" si="10"/>
      </c>
      <c r="FG55" s="593">
        <f t="shared" si="103"/>
        <v>0.14291666666666666</v>
      </c>
      <c r="FH55" s="594" t="str">
        <f t="shared" si="104"/>
        <v>n/a</v>
      </c>
      <c r="FI55" s="594">
        <f t="shared" si="105"/>
        <v>18.016202030967694</v>
      </c>
      <c r="FJ55" s="165">
        <f t="shared" si="106"/>
        <v>0.007145833333333333</v>
      </c>
      <c r="FK55" s="165" t="str">
        <f t="shared" si="107"/>
        <v>n/a</v>
      </c>
      <c r="FL55" s="165">
        <f t="shared" si="108"/>
        <v>0.2573743147281099</v>
      </c>
      <c r="FM55" s="167">
        <f t="shared" si="109"/>
        <v>0.26452014806144325</v>
      </c>
      <c r="FN55" s="165">
        <f t="shared" si="110"/>
        <v>0.028583333333333332</v>
      </c>
      <c r="FO55" s="165" t="str">
        <f t="shared" si="150"/>
        <v>n/a</v>
      </c>
      <c r="FP55" s="165">
        <f t="shared" si="111"/>
        <v>0.7206480812387077</v>
      </c>
      <c r="FQ55" s="168">
        <f t="shared" si="112"/>
        <v>0.749231414572041</v>
      </c>
      <c r="FR55" s="169"/>
      <c r="FS55" s="165">
        <f t="shared" si="113"/>
        <v>0.007145833333333333</v>
      </c>
      <c r="FT55" s="165" t="str">
        <f t="shared" si="114"/>
        <v>n/a</v>
      </c>
      <c r="FU55" s="165">
        <f t="shared" si="115"/>
        <v>0.18016202030967693</v>
      </c>
      <c r="FV55" s="596">
        <f>IF(SUM(FS55:FU55)&lt;$BZ$4,"",adjustparameter($AB55,0.01,SUM(FS55,FT55,FU55)/$AB55,$BZ$4))</f>
      </c>
      <c r="FW55" s="166">
        <f t="shared" si="116"/>
      </c>
      <c r="FX55" s="597">
        <f>IF($CK55="n/a","",IF(SUM(FS55:FU55)&lt;$BZ$4,"",adjustparameter($AO55,0.5*$AO55,SUM(SUM(FU55)*FV55/$AB55/$AO55),($BZ$4-SUM(FS55:FT55)*FV55/$AB55))))</f>
      </c>
      <c r="FY55" s="166">
        <f t="shared" si="117"/>
      </c>
      <c r="FZ55" s="124"/>
      <c r="GA55" s="166">
        <f t="shared" si="118"/>
      </c>
      <c r="GB55" s="124"/>
      <c r="GC55" s="166">
        <f t="shared" si="119"/>
      </c>
      <c r="GD55" s="595">
        <f t="shared" si="120"/>
      </c>
      <c r="GE55" s="165">
        <f>IF(GD55="","",VLOOKUP(GD55,Picklist!$C$2:$E$5,3))</f>
      </c>
      <c r="GF55" s="594">
        <f t="shared" si="121"/>
      </c>
      <c r="GG55" s="197"/>
      <c r="GH55" s="166">
        <f t="shared" si="12"/>
      </c>
      <c r="GI55" s="593">
        <f t="shared" si="122"/>
        <v>0.14291666666666666</v>
      </c>
      <c r="GJ55" s="594" t="str">
        <f t="shared" si="123"/>
        <v>n/a</v>
      </c>
      <c r="GK55" s="594">
        <f t="shared" si="124"/>
        <v>18.016202030967694</v>
      </c>
      <c r="GL55" s="165">
        <f t="shared" si="125"/>
        <v>0.007145833333333333</v>
      </c>
      <c r="GM55" s="165" t="str">
        <f t="shared" si="126"/>
        <v>n/a</v>
      </c>
      <c r="GN55" s="165">
        <f t="shared" si="127"/>
        <v>0.2573743147281099</v>
      </c>
      <c r="GO55" s="167">
        <f t="shared" si="128"/>
        <v>0.26452014806144325</v>
      </c>
      <c r="GP55" s="165">
        <f t="shared" si="129"/>
        <v>0.007145833333333333</v>
      </c>
      <c r="GQ55" s="165" t="str">
        <f t="shared" si="151"/>
        <v>n/a</v>
      </c>
      <c r="GR55" s="165">
        <f t="shared" si="130"/>
        <v>0.18016202030967693</v>
      </c>
      <c r="GS55" s="170">
        <f t="shared" si="131"/>
        <v>0.18730785364301025</v>
      </c>
      <c r="GT55" s="139"/>
      <c r="GU55" s="139"/>
      <c r="GV55" s="139"/>
      <c r="GW55" s="139"/>
      <c r="GX55" s="139"/>
      <c r="GY55" s="139"/>
      <c r="GZ55" s="139"/>
      <c r="HA55" s="139"/>
      <c r="HB55" s="139"/>
      <c r="HC55" s="139"/>
      <c r="HD55" s="139"/>
      <c r="HE55" s="139"/>
      <c r="HF55" s="139"/>
      <c r="HG55" s="139"/>
      <c r="HH55" s="139"/>
      <c r="HI55" s="139"/>
      <c r="HJ55" s="139"/>
      <c r="HK55" s="139"/>
      <c r="HL55" s="139"/>
      <c r="HM55" s="139"/>
      <c r="HN55" s="139"/>
      <c r="HO55" s="139"/>
      <c r="HP55" s="139"/>
      <c r="HQ55" s="139"/>
      <c r="HR55" s="139"/>
      <c r="HS55" s="139"/>
      <c r="HT55" s="139"/>
      <c r="HU55" s="139"/>
      <c r="HV55" s="139"/>
      <c r="HW55" s="139"/>
      <c r="HX55" s="139"/>
      <c r="HY55" s="139"/>
      <c r="HZ55" s="139"/>
      <c r="IA55" s="139"/>
      <c r="IB55" s="139"/>
      <c r="IC55" s="139"/>
      <c r="ID55" s="139"/>
      <c r="IE55" s="139"/>
      <c r="IF55" s="139"/>
      <c r="IG55" s="139"/>
      <c r="IH55" s="139"/>
      <c r="II55" s="139"/>
      <c r="IJ55" s="139"/>
      <c r="IK55" s="139"/>
      <c r="IL55" s="139"/>
      <c r="IM55" s="139"/>
      <c r="IN55" s="139"/>
    </row>
    <row r="56" spans="1:201" s="139" customFormat="1" ht="118.5">
      <c r="A56" s="144"/>
      <c r="B56" s="241"/>
      <c r="C56" s="146" t="s">
        <v>387</v>
      </c>
      <c r="D56" s="142" t="s">
        <v>389</v>
      </c>
      <c r="E56" s="251" t="s">
        <v>390</v>
      </c>
      <c r="F56" s="179">
        <v>0.6</v>
      </c>
      <c r="G56" s="121" t="s">
        <v>388</v>
      </c>
      <c r="H56" s="121"/>
      <c r="I56" s="121" t="s">
        <v>388</v>
      </c>
      <c r="J56" s="121" t="s">
        <v>139</v>
      </c>
      <c r="K56" s="121">
        <v>1</v>
      </c>
      <c r="L56" s="121">
        <v>857.5</v>
      </c>
      <c r="M56" s="121"/>
      <c r="N56" s="121">
        <v>50</v>
      </c>
      <c r="O56" s="121">
        <v>20</v>
      </c>
      <c r="P56" s="176">
        <v>1</v>
      </c>
      <c r="Q56" s="151">
        <f t="shared" si="14"/>
        <v>85.75000000000001</v>
      </c>
      <c r="R56" s="132" t="str">
        <f t="shared" si="15"/>
        <v>n/a</v>
      </c>
      <c r="S56" s="143">
        <f t="shared" si="16"/>
        <v>34.25</v>
      </c>
      <c r="T56" s="143">
        <f t="shared" si="17"/>
        <v>1500</v>
      </c>
      <c r="U56" s="143">
        <f t="shared" si="18"/>
        <v>1500</v>
      </c>
      <c r="V56" s="152">
        <f t="shared" si="19"/>
        <v>120.00000000000001</v>
      </c>
      <c r="W56" s="153">
        <f t="shared" si="20"/>
        <v>4.2875000000000005</v>
      </c>
      <c r="X56" s="154" t="str">
        <f t="shared" si="21"/>
        <v>n/a</v>
      </c>
      <c r="Y56" s="154" t="str">
        <f t="shared" si="22"/>
        <v>n/a</v>
      </c>
      <c r="Z56" s="154">
        <f t="shared" si="23"/>
        <v>21.428571428571427</v>
      </c>
      <c r="AA56" s="155">
        <f t="shared" si="24"/>
        <v>25.71607142857143</v>
      </c>
      <c r="AB56" s="88">
        <v>0.05</v>
      </c>
      <c r="AC56" s="88" t="s">
        <v>438</v>
      </c>
      <c r="AD56" s="608">
        <v>1</v>
      </c>
      <c r="AE56" s="134" t="s">
        <v>636</v>
      </c>
      <c r="AF56" s="92">
        <v>857.5</v>
      </c>
      <c r="AG56" s="204" t="s">
        <v>515</v>
      </c>
      <c r="AH56" s="297">
        <v>0.01</v>
      </c>
      <c r="AI56" s="297" t="s">
        <v>232</v>
      </c>
      <c r="AJ56" s="299"/>
      <c r="AK56" s="299"/>
      <c r="AL56" s="178"/>
      <c r="AM56" s="90"/>
      <c r="AN56" s="131"/>
      <c r="AO56" s="90">
        <v>15</v>
      </c>
      <c r="AP56" s="99" t="s">
        <v>425</v>
      </c>
      <c r="AQ56" s="312"/>
      <c r="AR56" s="101"/>
      <c r="AS56" s="142" t="s">
        <v>496</v>
      </c>
      <c r="AT56" s="120">
        <f t="shared" si="25"/>
        <v>0.6</v>
      </c>
      <c r="AU56" s="131" t="str">
        <f t="shared" si="153"/>
        <v>RIVM  general fact sheet</v>
      </c>
      <c r="AV56" s="131">
        <f t="shared" si="140"/>
        <v>0.8639392643942738</v>
      </c>
      <c r="AW56" s="156">
        <f t="shared" si="152"/>
        <v>20</v>
      </c>
      <c r="AX56" s="156" t="str">
        <f t="shared" si="154"/>
        <v>TRA default</v>
      </c>
      <c r="AY56" s="140">
        <f>30/60</f>
        <v>0.5</v>
      </c>
      <c r="AZ56" s="159" t="s">
        <v>424</v>
      </c>
      <c r="BA56" s="125">
        <f t="shared" si="141"/>
        <v>0.07145833333333336</v>
      </c>
      <c r="BB56" s="125">
        <f t="shared" si="142"/>
        <v>0.07145833333333336</v>
      </c>
      <c r="BC56" s="120">
        <f t="shared" si="143"/>
        <v>0.005</v>
      </c>
      <c r="BD56" s="120" t="str">
        <f t="shared" si="144"/>
        <v>n/a</v>
      </c>
      <c r="BE56" s="120" t="str">
        <f t="shared" si="145"/>
        <v>n/a</v>
      </c>
      <c r="BF56" s="120">
        <f t="shared" si="146"/>
        <v>0.3698739975687985</v>
      </c>
      <c r="BG56" s="120">
        <f t="shared" si="28"/>
        <v>32.397722414785264</v>
      </c>
      <c r="BH56" s="120">
        <f t="shared" si="29"/>
      </c>
      <c r="BI56" s="120">
        <f t="shared" si="147"/>
        <v>0.6749525503080264</v>
      </c>
      <c r="BJ56" s="158">
        <f t="shared" si="30"/>
        <v>0.6749525503080264</v>
      </c>
      <c r="BK56" s="159">
        <f t="shared" si="31"/>
        <v>0.44133233090213186</v>
      </c>
      <c r="BL56" s="160" t="str">
        <f t="shared" si="32"/>
        <v>n/a</v>
      </c>
      <c r="BM56" s="161" t="str">
        <f t="shared" si="33"/>
        <v>n/a</v>
      </c>
      <c r="BN56" s="161">
        <f t="shared" si="34"/>
        <v>0.003572916666666668</v>
      </c>
      <c r="BO56" s="162" t="str">
        <f t="shared" si="35"/>
        <v>n/a</v>
      </c>
      <c r="BP56" s="161">
        <f t="shared" si="36"/>
        <v>0.009642179290114662</v>
      </c>
      <c r="BQ56" s="162">
        <f t="shared" si="37"/>
        <v>0.01321509595678133</v>
      </c>
      <c r="BR56" s="161">
        <f t="shared" si="38"/>
        <v>0.003572916666666668</v>
      </c>
      <c r="BS56" s="161" t="str">
        <f t="shared" si="39"/>
        <v>n/a</v>
      </c>
      <c r="BT56" s="161">
        <f t="shared" si="40"/>
        <v>0.009642179290114662</v>
      </c>
      <c r="BU56" s="161">
        <f t="shared" si="41"/>
        <v>0.01321509595678133</v>
      </c>
      <c r="BV56" s="163" t="str">
        <f t="shared" si="42"/>
        <v>Unless otherwise stated, covers concentrations up to 5% [ConsOC1]; covers use up to 364 days/year[ConsOC3]; covers use up to 1 time/on day of use[ConsOC4]; covers skin contact area up to 857,50 cm2 [ConsOC5]; for each use event, covers use amounts up to 15g [ConsOC2]; covers use under typical household ventilation [ConsOC8]; covers use in room size of 20m3[ConsOC11]; for each use event, covers exposure up to 0,50hr/event[ConsOC14]; </v>
      </c>
      <c r="BW56" s="126" t="str">
        <f t="shared" si="43"/>
        <v>No specific RMMs identified beyond those OCs stated</v>
      </c>
      <c r="BX56" s="125" t="str">
        <f t="shared" si="44"/>
        <v>Based upon daily use</v>
      </c>
      <c r="BY56" s="120">
        <f t="shared" si="45"/>
        <v>0.003572916666666668</v>
      </c>
      <c r="BZ56" s="120" t="str">
        <f t="shared" si="46"/>
        <v>n/a</v>
      </c>
      <c r="CA56" s="120">
        <f t="shared" si="47"/>
        <v>0.009642179290114662</v>
      </c>
      <c r="CB56" s="164">
        <f t="shared" si="48"/>
        <v>0.01321509595678133</v>
      </c>
      <c r="CC56" s="120">
        <f t="shared" si="49"/>
        <v>0.07145833333333336</v>
      </c>
      <c r="CD56" s="120" t="str">
        <f t="shared" si="50"/>
        <v>n/a</v>
      </c>
      <c r="CE56" s="159">
        <f t="shared" si="51"/>
        <v>0.6749525503080264</v>
      </c>
      <c r="CF56" s="199"/>
      <c r="CG56" s="145" t="str">
        <f t="shared" si="135"/>
        <v>PC35:Washing and cleaning products (including solvent based products)</v>
      </c>
      <c r="CH56" s="118" t="str">
        <f>E56</f>
        <v>Laundry and dish washing products</v>
      </c>
      <c r="CI56" s="120">
        <f t="shared" si="52"/>
        <v>0.07145833333333336</v>
      </c>
      <c r="CJ56" s="120" t="str">
        <f t="shared" si="53"/>
        <v>n/a</v>
      </c>
      <c r="CK56" s="120">
        <f t="shared" si="54"/>
        <v>0.6749525503080264</v>
      </c>
      <c r="CL56" s="165"/>
      <c r="CM56" s="165">
        <f t="shared" si="55"/>
        <v>0.7145833333333336</v>
      </c>
      <c r="CN56" s="165" t="str">
        <f t="shared" si="56"/>
        <v>n/a</v>
      </c>
      <c r="CO56" s="165">
        <f t="shared" si="57"/>
        <v>1.3499051006160527</v>
      </c>
      <c r="CP56" s="598">
        <f>IF(SUM(CM56:CO56)&lt;$BZ$4,"",adjustparameter($AB56,0.01,SUM(CM56,CN56,CO56)/$AB56,$BZ$4))</f>
        <v>0.021797167404766983</v>
      </c>
      <c r="CQ56" s="166">
        <f t="shared" si="58"/>
        <v>0.5640566519046604</v>
      </c>
      <c r="CR56" s="599">
        <f>IF($CK56="n/a","",IF(SUM(CM56:CO56)&lt;$BZ$4,"",adjustparameter($AO56,0.5*$AO56,SUM(SUM(CO56)*CP56/$AB56/$AO56),($BZ$4-SUM(CM56:CN56)*CP56/$AB56))))</f>
      </c>
      <c r="CS56" s="166">
        <f t="shared" si="59"/>
      </c>
      <c r="CT56" s="165"/>
      <c r="CU56" s="166">
        <f t="shared" si="60"/>
      </c>
      <c r="CV56" s="124"/>
      <c r="CW56" s="166">
        <f t="shared" si="61"/>
      </c>
      <c r="CX56" s="595">
        <f t="shared" si="62"/>
      </c>
      <c r="CY56" s="165">
        <f>IF(CX56="","",VLOOKUP(CX56,Picklist!$C$2:$E$5,3))</f>
      </c>
      <c r="CZ56" s="594">
        <f t="shared" si="63"/>
      </c>
      <c r="DA56" s="165"/>
      <c r="DB56" s="166">
        <f t="shared" si="64"/>
      </c>
      <c r="DC56" s="165">
        <f t="shared" si="65"/>
        <v>0.031151785082646155</v>
      </c>
      <c r="DD56" s="165" t="str">
        <f t="shared" si="66"/>
        <v>n/a</v>
      </c>
      <c r="DE56" s="165">
        <f t="shared" si="67"/>
        <v>0.2942410745867692</v>
      </c>
      <c r="DF56" s="165">
        <f t="shared" si="68"/>
        <v>0.0015575892541323077</v>
      </c>
      <c r="DG56" s="165" t="str">
        <f t="shared" si="69"/>
        <v>n/a</v>
      </c>
      <c r="DH56" s="165">
        <f t="shared" si="70"/>
        <v>0.004203443922668131</v>
      </c>
      <c r="DI56" s="167">
        <f t="shared" si="71"/>
        <v>0.005761033176800439</v>
      </c>
      <c r="DJ56" s="165">
        <f t="shared" si="72"/>
        <v>0.31151785082646155</v>
      </c>
      <c r="DK56" s="165" t="str">
        <f t="shared" si="148"/>
        <v>n/a</v>
      </c>
      <c r="DL56" s="165">
        <f t="shared" si="73"/>
        <v>0.5884821491735384</v>
      </c>
      <c r="DM56" s="168">
        <f t="shared" si="74"/>
        <v>0.8999999999999999</v>
      </c>
      <c r="DN56" s="185"/>
      <c r="DO56" s="165">
        <f t="shared" si="75"/>
        <v>0.07145833333333336</v>
      </c>
      <c r="DP56" s="165" t="str">
        <f t="shared" si="76"/>
        <v>n/a</v>
      </c>
      <c r="DQ56" s="165">
        <f t="shared" si="77"/>
        <v>0.13499051006160528</v>
      </c>
      <c r="DR56" s="598">
        <f>IF(SUM(DO56:DQ56)&lt;$BZ$4,"",adjustparameter($AB56,0.01,SUM(DO56,DP56,DQ56)/$AB56,$BZ$4))</f>
      </c>
      <c r="DS56" s="166">
        <f t="shared" si="78"/>
      </c>
      <c r="DT56" s="597">
        <f>IF($CK56="n/a","",IF(SUM(DO56:DQ56)&lt;$BZ$4,"",adjustparameter($AO56,0.5*$AO56,SUM(SUM(DQ56)*DR56/$AB56/$AO56),($BZ$4-SUM(DO56:DP56)*DR56/$AB56))))</f>
      </c>
      <c r="DU56" s="166">
        <f t="shared" si="8"/>
      </c>
      <c r="DV56" s="165"/>
      <c r="DW56" s="166">
        <f t="shared" si="79"/>
      </c>
      <c r="DX56" s="165"/>
      <c r="DY56" s="166">
        <f t="shared" si="80"/>
      </c>
      <c r="DZ56" s="595">
        <f t="shared" si="81"/>
      </c>
      <c r="EA56" s="165">
        <f>IF(DZ56="","",VLOOKUP(DZ56,Picklist!$C$2:$E$5,3))</f>
      </c>
      <c r="EB56" s="594">
        <f t="shared" si="82"/>
      </c>
      <c r="EC56" s="165"/>
      <c r="ED56" s="166">
        <f t="shared" si="83"/>
      </c>
      <c r="EE56" s="593">
        <f t="shared" si="84"/>
        <v>0.07145833333333336</v>
      </c>
      <c r="EF56" s="594" t="str">
        <f t="shared" si="85"/>
        <v>n/a</v>
      </c>
      <c r="EG56" s="594">
        <f t="shared" si="86"/>
        <v>0.6749525503080264</v>
      </c>
      <c r="EH56" s="165">
        <f t="shared" si="87"/>
        <v>0.003572916666666668</v>
      </c>
      <c r="EI56" s="165" t="str">
        <f t="shared" si="88"/>
        <v>n/a</v>
      </c>
      <c r="EJ56" s="165">
        <f t="shared" si="89"/>
        <v>0.009642179290114662</v>
      </c>
      <c r="EK56" s="167">
        <f t="shared" si="90"/>
        <v>0.01321509595678133</v>
      </c>
      <c r="EL56" s="165">
        <f t="shared" si="91"/>
        <v>0.07145833333333336</v>
      </c>
      <c r="EM56" s="165" t="str">
        <f t="shared" si="149"/>
        <v>n/a</v>
      </c>
      <c r="EN56" s="165">
        <f t="shared" si="92"/>
        <v>0.13499051006160528</v>
      </c>
      <c r="EO56" s="168">
        <f t="shared" si="93"/>
        <v>0.20644884339493863</v>
      </c>
      <c r="EP56" s="185"/>
      <c r="EQ56" s="165">
        <f t="shared" si="94"/>
        <v>0.014291666666666671</v>
      </c>
      <c r="ER56" s="165" t="str">
        <f t="shared" si="95"/>
        <v>n/a</v>
      </c>
      <c r="ES56" s="165">
        <f t="shared" si="96"/>
        <v>0.026998102012321053</v>
      </c>
      <c r="ET56" s="596">
        <f>IF(SUM(EQ56:ES56)&lt;$BZ$4,"",adjustparameter($AB56,0.01,SUM(EQ56,ER56,ES56)/$AB56,$BZ$4))</f>
      </c>
      <c r="EU56" s="166">
        <f t="shared" si="97"/>
      </c>
      <c r="EV56" s="597">
        <f>IF($CK56="n/a","",IF(SUM(EQ56:ES56)&lt;$BZ$4,"",adjustparameter($AO56,0.5*$AO56,SUM(SUM(ES56)*ET56/$AB56/$AO56),($BZ$4-SUM(EQ56:ER56)*ET56/$AB56))))</f>
      </c>
      <c r="EW56" s="166">
        <f t="shared" si="98"/>
      </c>
      <c r="EX56" s="165"/>
      <c r="EY56" s="166">
        <f t="shared" si="99"/>
      </c>
      <c r="EZ56" s="177"/>
      <c r="FA56" s="166">
        <f t="shared" si="100"/>
      </c>
      <c r="FB56" s="595">
        <f t="shared" si="101"/>
      </c>
      <c r="FC56" s="165">
        <f>IF(FB56="","",VLOOKUP(FB56,Picklist!$C$2:$E$5,3))</f>
      </c>
      <c r="FD56" s="594">
        <f t="shared" si="102"/>
      </c>
      <c r="FE56" s="165"/>
      <c r="FF56" s="166">
        <f t="shared" si="10"/>
      </c>
      <c r="FG56" s="593">
        <f t="shared" si="103"/>
        <v>0.07145833333333336</v>
      </c>
      <c r="FH56" s="594" t="str">
        <f t="shared" si="104"/>
        <v>n/a</v>
      </c>
      <c r="FI56" s="594">
        <f t="shared" si="105"/>
        <v>0.6749525503080264</v>
      </c>
      <c r="FJ56" s="165">
        <f t="shared" si="106"/>
        <v>0.003572916666666668</v>
      </c>
      <c r="FK56" s="165" t="str">
        <f t="shared" si="107"/>
        <v>n/a</v>
      </c>
      <c r="FL56" s="165">
        <f t="shared" si="108"/>
        <v>0.009642179290114662</v>
      </c>
      <c r="FM56" s="167">
        <f t="shared" si="109"/>
        <v>0.01321509595678133</v>
      </c>
      <c r="FN56" s="165">
        <f t="shared" si="110"/>
        <v>0.014291666666666671</v>
      </c>
      <c r="FO56" s="165" t="str">
        <f t="shared" si="150"/>
        <v>n/a</v>
      </c>
      <c r="FP56" s="165">
        <f t="shared" si="111"/>
        <v>0.026998102012321053</v>
      </c>
      <c r="FQ56" s="168">
        <f t="shared" si="112"/>
        <v>0.041289768678987725</v>
      </c>
      <c r="FR56" s="185"/>
      <c r="FS56" s="165">
        <f t="shared" si="113"/>
        <v>0.003572916666666668</v>
      </c>
      <c r="FT56" s="165" t="str">
        <f t="shared" si="114"/>
        <v>n/a</v>
      </c>
      <c r="FU56" s="165">
        <f t="shared" si="115"/>
        <v>0.006749525503080263</v>
      </c>
      <c r="FV56" s="596">
        <f>IF(SUM(FS56:FU56)&lt;$BZ$4,"",adjustparameter($AB56,0.01,SUM(FS56,FT56,FU56)/$AB56,$BZ$4))</f>
      </c>
      <c r="FW56" s="166">
        <f t="shared" si="116"/>
      </c>
      <c r="FX56" s="597">
        <f>IF($CK56="n/a","",IF(SUM(FS56:FU56)&lt;$BZ$4,"",adjustparameter($AO56,0.5*$AO56,SUM(SUM(FU56)*FV56/$AB56/$AO56),($BZ$4-SUM(FS56:FT56)*FV56/$AB56))))</f>
      </c>
      <c r="FY56" s="166">
        <f t="shared" si="117"/>
      </c>
      <c r="FZ56" s="165"/>
      <c r="GA56" s="166">
        <f t="shared" si="118"/>
      </c>
      <c r="GB56" s="165"/>
      <c r="GC56" s="166">
        <f t="shared" si="119"/>
      </c>
      <c r="GD56" s="595">
        <f t="shared" si="120"/>
      </c>
      <c r="GE56" s="165">
        <f>IF(GD56="","",VLOOKUP(GD56,Picklist!$C$2:$E$5,3))</f>
      </c>
      <c r="GF56" s="594">
        <f t="shared" si="121"/>
      </c>
      <c r="GG56" s="165"/>
      <c r="GH56" s="166">
        <f t="shared" si="12"/>
      </c>
      <c r="GI56" s="593">
        <f t="shared" si="122"/>
        <v>0.07145833333333336</v>
      </c>
      <c r="GJ56" s="594" t="str">
        <f t="shared" si="123"/>
        <v>n/a</v>
      </c>
      <c r="GK56" s="594">
        <f t="shared" si="124"/>
        <v>0.6749525503080264</v>
      </c>
      <c r="GL56" s="165">
        <f t="shared" si="125"/>
        <v>0.003572916666666668</v>
      </c>
      <c r="GM56" s="165" t="str">
        <f t="shared" si="126"/>
        <v>n/a</v>
      </c>
      <c r="GN56" s="165">
        <f t="shared" si="127"/>
        <v>0.009642179290114662</v>
      </c>
      <c r="GO56" s="167">
        <f t="shared" si="128"/>
        <v>0.01321509595678133</v>
      </c>
      <c r="GP56" s="165">
        <f t="shared" si="129"/>
        <v>0.003572916666666668</v>
      </c>
      <c r="GQ56" s="165" t="str">
        <f t="shared" si="151"/>
        <v>n/a</v>
      </c>
      <c r="GR56" s="165">
        <f t="shared" si="130"/>
        <v>0.006749525503080263</v>
      </c>
      <c r="GS56" s="170">
        <f t="shared" si="131"/>
        <v>0.010322442169746931</v>
      </c>
    </row>
    <row r="57" spans="1:201" s="139" customFormat="1" ht="118.5">
      <c r="A57" s="144"/>
      <c r="B57" s="241"/>
      <c r="C57" s="146" t="s">
        <v>387</v>
      </c>
      <c r="D57" s="142" t="s">
        <v>389</v>
      </c>
      <c r="E57" s="181" t="s">
        <v>465</v>
      </c>
      <c r="F57" s="179">
        <v>0.5</v>
      </c>
      <c r="G57" s="121" t="s">
        <v>388</v>
      </c>
      <c r="H57" s="121"/>
      <c r="I57" s="121" t="s">
        <v>388</v>
      </c>
      <c r="J57" s="121" t="s">
        <v>139</v>
      </c>
      <c r="K57" s="121">
        <v>1</v>
      </c>
      <c r="L57" s="121">
        <v>857.5</v>
      </c>
      <c r="M57" s="121"/>
      <c r="N57" s="121">
        <v>250</v>
      </c>
      <c r="O57" s="121">
        <v>20</v>
      </c>
      <c r="P57" s="206">
        <v>0.3333333333333333</v>
      </c>
      <c r="Q57" s="151">
        <f t="shared" si="14"/>
        <v>71.45833333333334</v>
      </c>
      <c r="R57" s="132" t="str">
        <f t="shared" si="15"/>
        <v>n/a</v>
      </c>
      <c r="S57" s="143">
        <f t="shared" si="16"/>
        <v>47.56944444444445</v>
      </c>
      <c r="T57" s="143">
        <f t="shared" si="17"/>
        <v>6250</v>
      </c>
      <c r="U57" s="143">
        <f t="shared" si="18"/>
        <v>6250</v>
      </c>
      <c r="V57" s="152">
        <f t="shared" si="19"/>
        <v>119.0277777777778</v>
      </c>
      <c r="W57" s="153">
        <f t="shared" si="20"/>
        <v>3.572916666666667</v>
      </c>
      <c r="X57" s="154" t="str">
        <f t="shared" si="21"/>
        <v>n/a</v>
      </c>
      <c r="Y57" s="154" t="str">
        <f t="shared" si="22"/>
        <v>n/a</v>
      </c>
      <c r="Z57" s="154">
        <f t="shared" si="23"/>
        <v>89.28571428571429</v>
      </c>
      <c r="AA57" s="155">
        <f t="shared" si="24"/>
        <v>92.85863095238096</v>
      </c>
      <c r="AB57" s="88">
        <v>0.05</v>
      </c>
      <c r="AC57" s="88" t="s">
        <v>438</v>
      </c>
      <c r="AD57" s="605">
        <v>1</v>
      </c>
      <c r="AE57" s="134" t="s">
        <v>647</v>
      </c>
      <c r="AF57" s="92">
        <v>857.5</v>
      </c>
      <c r="AG57" s="204" t="s">
        <v>515</v>
      </c>
      <c r="AH57" s="297">
        <v>1</v>
      </c>
      <c r="AI57" s="297" t="s">
        <v>233</v>
      </c>
      <c r="AJ57" s="299">
        <v>1</v>
      </c>
      <c r="AK57" s="299" t="s">
        <v>30</v>
      </c>
      <c r="AL57" s="178"/>
      <c r="AM57" s="90"/>
      <c r="AN57" s="131"/>
      <c r="AO57" s="90">
        <v>27</v>
      </c>
      <c r="AP57" s="99" t="s">
        <v>427</v>
      </c>
      <c r="AQ57" s="312"/>
      <c r="AR57" s="101"/>
      <c r="AS57" s="142" t="s">
        <v>496</v>
      </c>
      <c r="AT57" s="120">
        <f t="shared" si="25"/>
        <v>0.6</v>
      </c>
      <c r="AU57" s="131" t="str">
        <f t="shared" si="153"/>
        <v>RIVM  general fact sheet</v>
      </c>
      <c r="AV57" s="131">
        <f t="shared" si="140"/>
        <v>0.9072229639503482</v>
      </c>
      <c r="AW57" s="156">
        <f t="shared" si="152"/>
        <v>20</v>
      </c>
      <c r="AX57" s="156" t="str">
        <f t="shared" si="154"/>
        <v>TRA default</v>
      </c>
      <c r="AY57" s="140">
        <v>0.33</v>
      </c>
      <c r="AZ57" s="192" t="s">
        <v>426</v>
      </c>
      <c r="BA57" s="125">
        <f t="shared" si="141"/>
        <v>7.145833333333335</v>
      </c>
      <c r="BB57" s="125">
        <f t="shared" si="142"/>
        <v>7.145833333333335</v>
      </c>
      <c r="BC57" s="120">
        <f t="shared" si="143"/>
        <v>0.5</v>
      </c>
      <c r="BD57" s="120" t="str">
        <f t="shared" si="144"/>
        <v>n/a</v>
      </c>
      <c r="BE57" s="120" t="str">
        <f t="shared" si="145"/>
        <v>n/a</v>
      </c>
      <c r="BF57" s="120">
        <f t="shared" si="146"/>
        <v>0.46142493975219667</v>
      </c>
      <c r="BG57" s="120">
        <f t="shared" si="28"/>
        <v>61.23755006664851</v>
      </c>
      <c r="BH57" s="120">
        <f t="shared" si="29"/>
      </c>
      <c r="BI57" s="120">
        <f t="shared" si="147"/>
        <v>0.842016313416417</v>
      </c>
      <c r="BJ57" s="158">
        <f t="shared" si="30"/>
        <v>0.842016313416417</v>
      </c>
      <c r="BK57" s="159">
        <f t="shared" si="31"/>
        <v>7.607258273085532</v>
      </c>
      <c r="BL57" s="160" t="str">
        <f t="shared" si="32"/>
        <v>n/a</v>
      </c>
      <c r="BM57" s="161" t="str">
        <f t="shared" si="33"/>
        <v>n/a</v>
      </c>
      <c r="BN57" s="161">
        <f t="shared" si="34"/>
        <v>0.35729166666666673</v>
      </c>
      <c r="BO57" s="162" t="str">
        <f t="shared" si="35"/>
        <v>n/a</v>
      </c>
      <c r="BP57" s="161">
        <f t="shared" si="36"/>
        <v>0.012028804477377386</v>
      </c>
      <c r="BQ57" s="162">
        <f t="shared" si="37"/>
        <v>0.3693204711440441</v>
      </c>
      <c r="BR57" s="161">
        <f t="shared" si="38"/>
        <v>0.35729166666666673</v>
      </c>
      <c r="BS57" s="161" t="str">
        <f t="shared" si="39"/>
        <v>n/a</v>
      </c>
      <c r="BT57" s="161">
        <f t="shared" si="40"/>
        <v>0.012028804477377386</v>
      </c>
      <c r="BU57" s="161">
        <f t="shared" si="41"/>
        <v>0.3693204711440441</v>
      </c>
      <c r="BV57" s="163" t="str">
        <f t="shared" si="42"/>
        <v>Unless otherwise stated, covers concentrations up to 5% [ConsOC1]; covers use up to 364 days/year[ConsOC3]; covers use up to 1 time/on day of use[ConsOC4]; covers skin contact area up to 857,50 cm2 [ConsOC5]; for each use event, covers use amounts up to 27g [ConsOC2]; covers use under typical household ventilation [ConsOC8]; covers use in room size of 20m3[ConsOC11]; for each use event, covers exposure up to 0,33hr/event[ConsOC14]; </v>
      </c>
      <c r="BW57" s="126" t="str">
        <f t="shared" si="43"/>
        <v>No specific RMMs identified beyond those OCs stated</v>
      </c>
      <c r="BX57" s="125" t="str">
        <f t="shared" si="44"/>
        <v>Based upon daily use</v>
      </c>
      <c r="BY57" s="120">
        <f t="shared" si="45"/>
        <v>0.35729166666666673</v>
      </c>
      <c r="BZ57" s="120" t="str">
        <f t="shared" si="46"/>
        <v>n/a</v>
      </c>
      <c r="CA57" s="120">
        <f t="shared" si="47"/>
        <v>0.012028804477377386</v>
      </c>
      <c r="CB57" s="164">
        <f t="shared" si="48"/>
        <v>0.3693204711440441</v>
      </c>
      <c r="CC57" s="120">
        <f t="shared" si="49"/>
        <v>7.145833333333335</v>
      </c>
      <c r="CD57" s="120" t="str">
        <f t="shared" si="50"/>
        <v>n/a</v>
      </c>
      <c r="CE57" s="159">
        <f t="shared" si="51"/>
        <v>0.842016313416417</v>
      </c>
      <c r="CF57" s="138"/>
      <c r="CG57" s="145" t="str">
        <f t="shared" si="135"/>
        <v>PC35:Washing and cleaning products (including solvent based products)</v>
      </c>
      <c r="CH57" s="118" t="str">
        <f>E57</f>
        <v>Cleaners, liquids (all purpose cleaners, sanitary products, floor cleaners, glass cleaners, carpet cleaners, metal cleaners ) </v>
      </c>
      <c r="CI57" s="120">
        <f t="shared" si="52"/>
        <v>7.145833333333335</v>
      </c>
      <c r="CJ57" s="120" t="str">
        <f t="shared" si="53"/>
        <v>n/a</v>
      </c>
      <c r="CK57" s="120">
        <f t="shared" si="54"/>
        <v>0.842016313416417</v>
      </c>
      <c r="CL57" s="165"/>
      <c r="CM57" s="165">
        <f t="shared" si="55"/>
        <v>71.45833333333334</v>
      </c>
      <c r="CN57" s="165" t="str">
        <f t="shared" si="56"/>
        <v>n/a</v>
      </c>
      <c r="CO57" s="165">
        <f t="shared" si="57"/>
        <v>1.684032626832834</v>
      </c>
      <c r="CP57" s="598">
        <f>IF(SUM(CM57:CO57)&lt;$BZ$4,"",adjustparameter($AB57,0.01,SUM(CM57,CN57,CO57)/$AB57,$BZ$4))</f>
        <v>0.01</v>
      </c>
      <c r="CQ57" s="166">
        <f t="shared" si="58"/>
        <v>0.7999999999999999</v>
      </c>
      <c r="CR57" s="599">
        <f>IF($CK57="n/a","",IF(SUM(CM57:CO57)&lt;$BZ$4,"",adjustparameter($AO57,0.5*$AO57,SUM(SUM(CO57)*CP57/$AB57/$AO57),($BZ$4-SUM(CM57:CN57)*CP57/$AB57))))</f>
        <v>13.5</v>
      </c>
      <c r="CS57" s="166">
        <f t="shared" si="59"/>
        <v>0.5</v>
      </c>
      <c r="CT57" s="165"/>
      <c r="CU57" s="166">
        <f t="shared" si="60"/>
      </c>
      <c r="CV57" s="124"/>
      <c r="CW57" s="166">
        <f t="shared" si="61"/>
      </c>
      <c r="CX57" s="595" t="str">
        <f t="shared" si="62"/>
        <v>indoor, ventilation</v>
      </c>
      <c r="CY57" s="165">
        <f>IF(CX57="","",VLOOKUP(CX57,Picklist!$C$2:$E$5,3))</f>
        <v>2.5</v>
      </c>
      <c r="CZ57" s="594">
        <f t="shared" si="63"/>
        <v>0.24943777999656716</v>
      </c>
      <c r="DA57" s="165"/>
      <c r="DB57" s="166">
        <f t="shared" si="64"/>
      </c>
      <c r="DC57" s="165">
        <f t="shared" si="65"/>
        <v>1.4291666666666674</v>
      </c>
      <c r="DD57" s="165" t="str">
        <f t="shared" si="66"/>
        <v>n/a</v>
      </c>
      <c r="DE57" s="165">
        <f t="shared" si="67"/>
        <v>0.06319856334769325</v>
      </c>
      <c r="DF57" s="165">
        <f t="shared" si="68"/>
        <v>0.07145833333333337</v>
      </c>
      <c r="DG57" s="165" t="str">
        <f t="shared" si="69"/>
        <v>n/a</v>
      </c>
      <c r="DH57" s="165">
        <f t="shared" si="70"/>
        <v>0.0009028366192527607</v>
      </c>
      <c r="DI57" s="167">
        <f t="shared" si="71"/>
        <v>0.07236116995258614</v>
      </c>
      <c r="DJ57" s="165">
        <f t="shared" si="72"/>
        <v>14.291666666666668</v>
      </c>
      <c r="DK57" s="165" t="str">
        <f t="shared" si="148"/>
        <v>n/a</v>
      </c>
      <c r="DL57" s="165">
        <f t="shared" si="73"/>
        <v>0.12639712669538644</v>
      </c>
      <c r="DM57" s="168">
        <f t="shared" si="74"/>
        <v>14.418063793362053</v>
      </c>
      <c r="DN57" s="185"/>
      <c r="DO57" s="165">
        <f t="shared" si="75"/>
        <v>7.145833333333335</v>
      </c>
      <c r="DP57" s="165" t="str">
        <f t="shared" si="76"/>
        <v>n/a</v>
      </c>
      <c r="DQ57" s="165">
        <f t="shared" si="77"/>
        <v>0.1684032626832834</v>
      </c>
      <c r="DR57" s="598">
        <f>IF(SUM(DO57:DQ57)&lt;$BZ$4,"",adjustparameter($AB57,0.01,SUM(DO57,DP57,DQ57)/$AB57,$BZ$4))</f>
        <v>0.01</v>
      </c>
      <c r="DS57" s="166">
        <f t="shared" si="78"/>
        <v>0.7999999999999999</v>
      </c>
      <c r="DT57" s="597">
        <f>IF($CK57="n/a","",IF(SUM(DO57:DQ57)&lt;$BZ$4,"",adjustparameter($AO57,0.5*$AO57,SUM(SUM(DQ57)*DR57/$AB57/$AO57),($BZ$4-SUM(DO57:DP57)*DR57/$AB57))))</f>
        <v>13.5</v>
      </c>
      <c r="DU57" s="166">
        <f t="shared" si="8"/>
        <v>0.5</v>
      </c>
      <c r="DV57" s="165"/>
      <c r="DW57" s="166">
        <f t="shared" si="79"/>
      </c>
      <c r="DX57" s="165"/>
      <c r="DY57" s="166">
        <f t="shared" si="80"/>
      </c>
      <c r="DZ57" s="595" t="str">
        <f t="shared" si="81"/>
        <v>indoor, ventilation</v>
      </c>
      <c r="EA57" s="165">
        <f>IF(DZ57="","",VLOOKUP(DZ57,Picklist!$C$2:$E$5,3))</f>
        <v>2.5</v>
      </c>
      <c r="EB57" s="594">
        <f t="shared" si="82"/>
        <v>0.24943777999656716</v>
      </c>
      <c r="EC57" s="165"/>
      <c r="ED57" s="166">
        <f t="shared" si="83"/>
      </c>
      <c r="EE57" s="593">
        <f t="shared" si="84"/>
        <v>1.4291666666666674</v>
      </c>
      <c r="EF57" s="594" t="str">
        <f t="shared" si="85"/>
        <v>n/a</v>
      </c>
      <c r="EG57" s="594">
        <f t="shared" si="86"/>
        <v>0.06319856334769325</v>
      </c>
      <c r="EH57" s="165">
        <f t="shared" si="87"/>
        <v>0.07145833333333337</v>
      </c>
      <c r="EI57" s="165" t="str">
        <f t="shared" si="88"/>
        <v>n/a</v>
      </c>
      <c r="EJ57" s="165">
        <f t="shared" si="89"/>
        <v>0.0009028366192527607</v>
      </c>
      <c r="EK57" s="167">
        <f t="shared" si="90"/>
        <v>0.07236116995258614</v>
      </c>
      <c r="EL57" s="165">
        <f t="shared" si="91"/>
        <v>1.429166666666667</v>
      </c>
      <c r="EM57" s="165" t="str">
        <f t="shared" si="149"/>
        <v>n/a</v>
      </c>
      <c r="EN57" s="165">
        <f t="shared" si="92"/>
        <v>0.012639712669538644</v>
      </c>
      <c r="EO57" s="168">
        <f t="shared" si="93"/>
        <v>1.4418063793362055</v>
      </c>
      <c r="EP57" s="185"/>
      <c r="EQ57" s="165">
        <f t="shared" si="94"/>
        <v>1.429166666666667</v>
      </c>
      <c r="ER57" s="165" t="str">
        <f t="shared" si="95"/>
        <v>n/a</v>
      </c>
      <c r="ES57" s="165">
        <f t="shared" si="96"/>
        <v>0.03368065253665668</v>
      </c>
      <c r="ET57" s="596">
        <f>IF(SUM(EQ57:ES57)&lt;$BZ$4,"",adjustparameter($AB57,0.01,SUM(EQ57,ER57,ES57)/$AB57,$BZ$4))</f>
        <v>0.03076192532827507</v>
      </c>
      <c r="EU57" s="166">
        <f t="shared" si="97"/>
        <v>0.38476149343449867</v>
      </c>
      <c r="EV57" s="597">
        <f>IF($CK57="n/a","",IF(SUM(EQ57:ES57)&lt;$BZ$4,"",adjustparameter($AO57,0.5*$AO57,SUM(SUM(ES57)*ET57/$AB57/$AO57),($BZ$4-SUM(EQ57:ER57)*ET57/$AB57))))</f>
        <v>26.999999999999808</v>
      </c>
      <c r="EW57" s="166">
        <f t="shared" si="98"/>
        <v>7.105427357601002E-15</v>
      </c>
      <c r="EX57" s="165"/>
      <c r="EY57" s="166">
        <f t="shared" si="99"/>
      </c>
      <c r="EZ57" s="177"/>
      <c r="FA57" s="166">
        <f t="shared" si="100"/>
      </c>
      <c r="FB57" s="595">
        <f t="shared" si="101"/>
      </c>
      <c r="FC57" s="165">
        <f>IF(FB57="","",VLOOKUP(FB57,Picklist!$C$2:$E$5,3))</f>
      </c>
      <c r="FD57" s="594">
        <f t="shared" si="102"/>
      </c>
      <c r="FE57" s="165"/>
      <c r="FF57" s="166">
        <f t="shared" si="10"/>
      </c>
      <c r="FG57" s="593">
        <f t="shared" si="103"/>
        <v>4.396391828165979</v>
      </c>
      <c r="FH57" s="594" t="str">
        <f t="shared" si="104"/>
        <v>n/a</v>
      </c>
      <c r="FI57" s="594">
        <f t="shared" si="105"/>
        <v>0.5180408591701018</v>
      </c>
      <c r="FJ57" s="165">
        <f t="shared" si="106"/>
        <v>0.21981959140829893</v>
      </c>
      <c r="FK57" s="165" t="str">
        <f t="shared" si="107"/>
        <v>n/a</v>
      </c>
      <c r="FL57" s="165">
        <f t="shared" si="108"/>
        <v>0.007400583702430025</v>
      </c>
      <c r="FM57" s="167">
        <f t="shared" si="109"/>
        <v>0.22722017511072895</v>
      </c>
      <c r="FN57" s="165">
        <f t="shared" si="110"/>
        <v>0.8792783656331958</v>
      </c>
      <c r="FO57" s="165" t="str">
        <f t="shared" si="150"/>
        <v>n/a</v>
      </c>
      <c r="FP57" s="165">
        <f t="shared" si="111"/>
        <v>0.02072163436680408</v>
      </c>
      <c r="FQ57" s="168">
        <f t="shared" si="112"/>
        <v>0.8999999999999999</v>
      </c>
      <c r="FR57" s="185"/>
      <c r="FS57" s="165">
        <f t="shared" si="113"/>
        <v>0.35729166666666673</v>
      </c>
      <c r="FT57" s="165" t="str">
        <f t="shared" si="114"/>
        <v>n/a</v>
      </c>
      <c r="FU57" s="165">
        <f t="shared" si="115"/>
        <v>0.00842016313416417</v>
      </c>
      <c r="FV57" s="596">
        <f>IF(SUM(FS57:FU57)&lt;$BZ$4,"",adjustparameter($AB57,0.01,SUM(FS57,FT57,FU57)/$AB57,$BZ$4))</f>
      </c>
      <c r="FW57" s="166">
        <f t="shared" si="116"/>
      </c>
      <c r="FX57" s="597">
        <f>IF($CK57="n/a","",IF(SUM(FS57:FU57)&lt;$BZ$4,"",adjustparameter($AO57,0.5*$AO57,SUM(SUM(FU57)*FV57/$AB57/$AO57),($BZ$4-SUM(FS57:FT57)*FV57/$AB57))))</f>
      </c>
      <c r="FY57" s="166">
        <f t="shared" si="117"/>
      </c>
      <c r="FZ57" s="165"/>
      <c r="GA57" s="166">
        <f t="shared" si="118"/>
      </c>
      <c r="GB57" s="165"/>
      <c r="GC57" s="166">
        <f t="shared" si="119"/>
      </c>
      <c r="GD57" s="595">
        <f t="shared" si="120"/>
      </c>
      <c r="GE57" s="165">
        <f>IF(GD57="","",VLOOKUP(GD57,Picklist!$C$2:$E$5,3))</f>
      </c>
      <c r="GF57" s="594">
        <f t="shared" si="121"/>
      </c>
      <c r="GG57" s="165"/>
      <c r="GH57" s="166">
        <f t="shared" si="12"/>
      </c>
      <c r="GI57" s="593">
        <f t="shared" si="122"/>
        <v>7.145833333333335</v>
      </c>
      <c r="GJ57" s="594" t="str">
        <f t="shared" si="123"/>
        <v>n/a</v>
      </c>
      <c r="GK57" s="594">
        <f t="shared" si="124"/>
        <v>0.842016313416417</v>
      </c>
      <c r="GL57" s="165">
        <f t="shared" si="125"/>
        <v>0.35729166666666673</v>
      </c>
      <c r="GM57" s="165" t="str">
        <f t="shared" si="126"/>
        <v>n/a</v>
      </c>
      <c r="GN57" s="165">
        <f t="shared" si="127"/>
        <v>0.012028804477377386</v>
      </c>
      <c r="GO57" s="167">
        <f t="shared" si="128"/>
        <v>0.3693204711440441</v>
      </c>
      <c r="GP57" s="165">
        <f t="shared" si="129"/>
        <v>0.35729166666666673</v>
      </c>
      <c r="GQ57" s="165" t="str">
        <f t="shared" si="151"/>
        <v>n/a</v>
      </c>
      <c r="GR57" s="165">
        <f t="shared" si="130"/>
        <v>0.00842016313416417</v>
      </c>
      <c r="GS57" s="170">
        <f t="shared" si="131"/>
        <v>0.3657118298008309</v>
      </c>
    </row>
    <row r="58" spans="1:201" s="139" customFormat="1" ht="118.5">
      <c r="A58" s="144"/>
      <c r="B58" s="241"/>
      <c r="C58" s="207" t="s">
        <v>387</v>
      </c>
      <c r="D58" s="118" t="s">
        <v>389</v>
      </c>
      <c r="E58" s="252" t="s">
        <v>397</v>
      </c>
      <c r="F58" s="209">
        <v>0.2</v>
      </c>
      <c r="G58" s="128" t="s">
        <v>388</v>
      </c>
      <c r="H58" s="128"/>
      <c r="I58" s="128" t="s">
        <v>388</v>
      </c>
      <c r="J58" s="128" t="s">
        <v>398</v>
      </c>
      <c r="K58" s="128">
        <v>1</v>
      </c>
      <c r="L58" s="128">
        <v>857.5</v>
      </c>
      <c r="M58" s="128"/>
      <c r="N58" s="128">
        <v>35</v>
      </c>
      <c r="O58" s="128">
        <v>20</v>
      </c>
      <c r="P58" s="210">
        <v>4</v>
      </c>
      <c r="Q58" s="151">
        <f t="shared" si="14"/>
        <v>28.583333333333332</v>
      </c>
      <c r="R58" s="132" t="str">
        <f t="shared" si="15"/>
        <v>n/a</v>
      </c>
      <c r="S58" s="143">
        <f t="shared" si="16"/>
        <v>31.966666666666665</v>
      </c>
      <c r="T58" s="143">
        <f t="shared" si="17"/>
        <v>350</v>
      </c>
      <c r="U58" s="143">
        <f t="shared" si="18"/>
        <v>350</v>
      </c>
      <c r="V58" s="152">
        <f t="shared" si="19"/>
        <v>60.55</v>
      </c>
      <c r="W58" s="153">
        <f t="shared" si="20"/>
        <v>1.4291666666666667</v>
      </c>
      <c r="X58" s="154" t="str">
        <f t="shared" si="21"/>
        <v>n/a</v>
      </c>
      <c r="Y58" s="154" t="str">
        <f t="shared" si="22"/>
        <v>n/a</v>
      </c>
      <c r="Z58" s="154">
        <f t="shared" si="23"/>
        <v>5</v>
      </c>
      <c r="AA58" s="155">
        <f t="shared" si="24"/>
        <v>6.429166666666667</v>
      </c>
      <c r="AB58" s="108">
        <v>0.15</v>
      </c>
      <c r="AC58" s="108" t="s">
        <v>438</v>
      </c>
      <c r="AD58" s="606">
        <v>1</v>
      </c>
      <c r="AE58" s="136" t="s">
        <v>647</v>
      </c>
      <c r="AF58" s="576">
        <v>428</v>
      </c>
      <c r="AG58" s="147" t="s">
        <v>428</v>
      </c>
      <c r="AH58" s="300"/>
      <c r="AI58" s="300"/>
      <c r="AJ58" s="301"/>
      <c r="AK58" s="301"/>
      <c r="AL58" s="147"/>
      <c r="AM58" s="313"/>
      <c r="AN58" s="211"/>
      <c r="AO58" s="103">
        <v>35</v>
      </c>
      <c r="AP58" s="110" t="s">
        <v>515</v>
      </c>
      <c r="AQ58" s="313"/>
      <c r="AR58" s="110"/>
      <c r="AS58" s="212" t="s">
        <v>496</v>
      </c>
      <c r="AT58" s="120">
        <f t="shared" si="25"/>
        <v>0.6</v>
      </c>
      <c r="AU58" s="131" t="str">
        <f t="shared" si="153"/>
        <v>RIVM  general fact sheet</v>
      </c>
      <c r="AV58" s="131">
        <f t="shared" si="140"/>
        <v>0.9506906699129728</v>
      </c>
      <c r="AW58" s="156">
        <f t="shared" si="152"/>
        <v>20</v>
      </c>
      <c r="AX58" s="156" t="str">
        <f t="shared" si="154"/>
        <v>TRA default</v>
      </c>
      <c r="AY58" s="213">
        <v>0.17</v>
      </c>
      <c r="AZ58" s="214" t="s">
        <v>429</v>
      </c>
      <c r="BA58" s="125">
        <f t="shared" si="141"/>
        <v>10.699999999999998</v>
      </c>
      <c r="BB58" s="125">
        <f t="shared" si="142"/>
        <v>10.699999999999998</v>
      </c>
      <c r="BC58" s="120">
        <f t="shared" si="143"/>
        <v>1.5</v>
      </c>
      <c r="BD58" s="120" t="str">
        <f t="shared" si="144"/>
        <v>n/a</v>
      </c>
      <c r="BE58" s="120" t="str">
        <f t="shared" si="145"/>
        <v>n/a</v>
      </c>
      <c r="BF58" s="120">
        <f t="shared" si="146"/>
        <v>0.9686943744744495</v>
      </c>
      <c r="BG58" s="120">
        <f t="shared" si="28"/>
        <v>249.5563008521554</v>
      </c>
      <c r="BH58" s="120">
        <f t="shared" si="29"/>
      </c>
      <c r="BI58" s="120">
        <f t="shared" si="147"/>
        <v>1.7676904643694342</v>
      </c>
      <c r="BJ58" s="158">
        <f t="shared" si="30"/>
        <v>1.7676904643694342</v>
      </c>
      <c r="BK58" s="159">
        <f t="shared" si="31"/>
        <v>11.668694374474446</v>
      </c>
      <c r="BL58" s="160" t="str">
        <f t="shared" si="32"/>
        <v>n/a</v>
      </c>
      <c r="BM58" s="161" t="str">
        <f t="shared" si="33"/>
        <v>n/a</v>
      </c>
      <c r="BN58" s="161">
        <f t="shared" si="34"/>
        <v>0.5349999999999999</v>
      </c>
      <c r="BO58" s="162" t="str">
        <f t="shared" si="35"/>
        <v>n/a</v>
      </c>
      <c r="BP58" s="161">
        <f t="shared" si="36"/>
        <v>0.025252720919563345</v>
      </c>
      <c r="BQ58" s="162">
        <f t="shared" si="37"/>
        <v>0.5602527209195632</v>
      </c>
      <c r="BR58" s="161">
        <f t="shared" si="38"/>
        <v>0.5349999999999999</v>
      </c>
      <c r="BS58" s="161" t="str">
        <f t="shared" si="39"/>
        <v>n/a</v>
      </c>
      <c r="BT58" s="161">
        <f t="shared" si="40"/>
        <v>0.025252720919563345</v>
      </c>
      <c r="BU58" s="161">
        <f t="shared" si="41"/>
        <v>0.5602527209195632</v>
      </c>
      <c r="BV58" s="163" t="str">
        <f t="shared" si="42"/>
        <v>Unless otherwise stated, covers concentrations up to 15% [ConsOC1]; covers use up to 364 days/year[ConsOC3]; covers use up to 1 time/on day of use[ConsOC4]; covers skin contact area up to 428,00 cm2 [ConsOC5]; for each use event, covers use amounts up to 35g [ConsOC2]; covers use under typical household ventilation [ConsOC8]; covers use in room size of 20m3[ConsOC11]; for each use event, covers exposure up to 0,17hr/event[ConsOC14]; </v>
      </c>
      <c r="BW58" s="126" t="str">
        <f t="shared" si="43"/>
        <v>No specific RMMs identified beyond those OCs stated</v>
      </c>
      <c r="BX58" s="125" t="str">
        <f t="shared" si="44"/>
        <v>Based upon daily use</v>
      </c>
      <c r="BY58" s="120">
        <f t="shared" si="45"/>
        <v>0.5349999999999999</v>
      </c>
      <c r="BZ58" s="120" t="str">
        <f t="shared" si="46"/>
        <v>n/a</v>
      </c>
      <c r="CA58" s="120">
        <f t="shared" si="47"/>
        <v>0.025252720919563345</v>
      </c>
      <c r="CB58" s="164">
        <f t="shared" si="48"/>
        <v>0.5602527209195632</v>
      </c>
      <c r="CC58" s="120">
        <f t="shared" si="49"/>
        <v>10.699999999999998</v>
      </c>
      <c r="CD58" s="120" t="str">
        <f t="shared" si="50"/>
        <v>n/a</v>
      </c>
      <c r="CE58" s="159">
        <f t="shared" si="51"/>
        <v>1.7676904643694342</v>
      </c>
      <c r="CF58" s="138"/>
      <c r="CG58" s="145" t="str">
        <f t="shared" si="135"/>
        <v>PC35:Washing and cleaning products (including solvent based products)</v>
      </c>
      <c r="CH58" s="118" t="str">
        <f>E58</f>
        <v>Cleaners, trigger sprays (all purpose cleaners, sanitary products,  glass cleaners) </v>
      </c>
      <c r="CI58" s="120">
        <f t="shared" si="52"/>
        <v>10.699999999999998</v>
      </c>
      <c r="CJ58" s="120" t="str">
        <f t="shared" si="53"/>
        <v>n/a</v>
      </c>
      <c r="CK58" s="120">
        <f t="shared" si="54"/>
        <v>1.7676904643694342</v>
      </c>
      <c r="CL58" s="165"/>
      <c r="CM58" s="165">
        <f t="shared" si="55"/>
        <v>106.99999999999997</v>
      </c>
      <c r="CN58" s="165" t="str">
        <f t="shared" si="56"/>
        <v>n/a</v>
      </c>
      <c r="CO58" s="165">
        <f t="shared" si="57"/>
        <v>3.5353809287388684</v>
      </c>
      <c r="CP58" s="598">
        <f>IF(SUM(CM58:CO58)&lt;$BZ$4,"",adjustparameter($AB58,0.01,SUM(CM58,CN58,CO58)/$AB58,$BZ$4))</f>
        <v>0.01</v>
      </c>
      <c r="CQ58" s="166">
        <f t="shared" si="58"/>
        <v>0.9333333333333332</v>
      </c>
      <c r="CR58" s="599">
        <f>IF($CK58="n/a","",IF(SUM(CM58:CO58)&lt;$BZ$4,"",adjustparameter($AO58,0.5*$AO58,SUM(SUM(CO58)*CP58/$AB58/$AO58),($BZ$4-SUM(CM58:CN58)*CP58/$AB58))))</f>
        <v>17.5</v>
      </c>
      <c r="CS58" s="166">
        <f t="shared" si="59"/>
        <v>0.5</v>
      </c>
      <c r="CT58" s="165"/>
      <c r="CU58" s="166">
        <f t="shared" si="60"/>
      </c>
      <c r="CV58" s="124"/>
      <c r="CW58" s="166">
        <f t="shared" si="61"/>
      </c>
      <c r="CX58" s="595" t="str">
        <f t="shared" si="62"/>
        <v>indoor, ventilation</v>
      </c>
      <c r="CY58" s="165">
        <f>IF(CX58="","",VLOOKUP(CX58,Picklist!$C$2:$E$5,3))</f>
        <v>2.5</v>
      </c>
      <c r="CZ58" s="594">
        <f t="shared" si="63"/>
        <v>0.14308685791476594</v>
      </c>
      <c r="DA58" s="165"/>
      <c r="DB58" s="166">
        <f t="shared" si="64"/>
      </c>
      <c r="DC58" s="165">
        <f t="shared" si="65"/>
        <v>0.7133333333333342</v>
      </c>
      <c r="DD58" s="165" t="str">
        <f t="shared" si="66"/>
        <v>n/a</v>
      </c>
      <c r="DE58" s="165">
        <f t="shared" si="67"/>
        <v>0.05049190633523069</v>
      </c>
      <c r="DF58" s="165">
        <f t="shared" si="68"/>
        <v>0.03566666666666671</v>
      </c>
      <c r="DG58" s="165" t="str">
        <f t="shared" si="69"/>
        <v>n/a</v>
      </c>
      <c r="DH58" s="165">
        <f t="shared" si="70"/>
        <v>0.0007213129476461526</v>
      </c>
      <c r="DI58" s="167">
        <f t="shared" si="71"/>
        <v>0.03638797961431286</v>
      </c>
      <c r="DJ58" s="165">
        <f t="shared" si="72"/>
        <v>7.133333333333331</v>
      </c>
      <c r="DK58" s="165" t="str">
        <f t="shared" si="148"/>
        <v>n/a</v>
      </c>
      <c r="DL58" s="165">
        <f t="shared" si="73"/>
        <v>0.10098381267046122</v>
      </c>
      <c r="DM58" s="168">
        <f t="shared" si="74"/>
        <v>7.234317146003792</v>
      </c>
      <c r="DN58" s="185"/>
      <c r="DO58" s="165">
        <f t="shared" si="75"/>
        <v>10.699999999999998</v>
      </c>
      <c r="DP58" s="165" t="str">
        <f t="shared" si="76"/>
        <v>n/a</v>
      </c>
      <c r="DQ58" s="165">
        <f t="shared" si="77"/>
        <v>0.3535380928738868</v>
      </c>
      <c r="DR58" s="598">
        <f>IF(SUM(DO58:DQ58)&lt;$BZ$4,"",adjustparameter($AB58,0.01,SUM(DO58,DP58,DQ58)/$AB58,$BZ$4))</f>
        <v>0.012213284006053525</v>
      </c>
      <c r="DS58" s="166">
        <f t="shared" si="78"/>
        <v>0.9185781066263098</v>
      </c>
      <c r="DT58" s="597">
        <f>IF($CK58="n/a","",IF(SUM(DO58:DQ58)&lt;$BZ$4,"",adjustparameter($AO58,0.5*$AO58,SUM(SUM(DQ58)*DR58/$AB58/$AO58),($BZ$4-SUM(DO58:DP58)*DR58/$AB58))))</f>
        <v>34.99999999999991</v>
      </c>
      <c r="DU58" s="166">
        <f t="shared" si="8"/>
        <v>2.6391587328232294E-15</v>
      </c>
      <c r="DV58" s="165"/>
      <c r="DW58" s="166">
        <f t="shared" si="79"/>
      </c>
      <c r="DX58" s="165"/>
      <c r="DY58" s="166">
        <f t="shared" si="80"/>
      </c>
      <c r="DZ58" s="595">
        <f t="shared" si="81"/>
      </c>
      <c r="EA58" s="165">
        <f>IF(DZ58="","",VLOOKUP(DZ58,Picklist!$C$2:$E$5,3))</f>
      </c>
      <c r="EB58" s="594">
        <f t="shared" si="82"/>
      </c>
      <c r="EC58" s="165"/>
      <c r="ED58" s="166">
        <f t="shared" si="83"/>
      </c>
      <c r="EE58" s="593">
        <f t="shared" si="84"/>
        <v>0.871214259098485</v>
      </c>
      <c r="EF58" s="594" t="str">
        <f t="shared" si="85"/>
        <v>n/a</v>
      </c>
      <c r="EG58" s="594">
        <f t="shared" si="86"/>
        <v>0.1439287045075766</v>
      </c>
      <c r="EH58" s="165">
        <f t="shared" si="87"/>
        <v>0.04356071295492425</v>
      </c>
      <c r="EI58" s="165" t="str">
        <f t="shared" si="88"/>
        <v>n/a</v>
      </c>
      <c r="EJ58" s="165">
        <f t="shared" si="89"/>
        <v>0.0020561243501082374</v>
      </c>
      <c r="EK58" s="167">
        <f t="shared" si="90"/>
        <v>0.04561683730503249</v>
      </c>
      <c r="EL58" s="165">
        <f t="shared" si="91"/>
        <v>0.8712142590984846</v>
      </c>
      <c r="EM58" s="165" t="str">
        <f t="shared" si="149"/>
        <v>n/a</v>
      </c>
      <c r="EN58" s="165">
        <f t="shared" si="92"/>
        <v>0.02878574090151531</v>
      </c>
      <c r="EO58" s="168">
        <f t="shared" si="93"/>
        <v>0.8999999999999999</v>
      </c>
      <c r="EP58" s="185"/>
      <c r="EQ58" s="165">
        <f t="shared" si="94"/>
        <v>2.1399999999999997</v>
      </c>
      <c r="ER58" s="165" t="str">
        <f t="shared" si="95"/>
        <v>n/a</v>
      </c>
      <c r="ES58" s="165">
        <f t="shared" si="96"/>
        <v>0.07070761857477736</v>
      </c>
      <c r="ET58" s="596">
        <f>IF(SUM(EQ58:ES58)&lt;$BZ$4,"",adjustparameter($AB58,0.01,SUM(EQ58,ER58,ES58)/$AB58,$BZ$4))</f>
        <v>0.061066420030267625</v>
      </c>
      <c r="EU58" s="166">
        <f t="shared" si="97"/>
        <v>0.5928905331315492</v>
      </c>
      <c r="EV58" s="597">
        <f>IF($CK58="n/a","",IF(SUM(EQ58:ES58)&lt;$BZ$4,"",adjustparameter($AO58,0.5*$AO58,SUM(SUM(ES58)*ET58/$AB58/$AO58),($BZ$4-SUM(EQ58:ER58)*ET58/$AB58))))</f>
        <v>34.99999999999991</v>
      </c>
      <c r="EW58" s="166">
        <f t="shared" si="98"/>
        <v>2.6391587328232294E-15</v>
      </c>
      <c r="EX58" s="165"/>
      <c r="EY58" s="166">
        <f t="shared" si="99"/>
      </c>
      <c r="EZ58" s="215"/>
      <c r="FA58" s="166">
        <f t="shared" si="100"/>
      </c>
      <c r="FB58" s="595">
        <f t="shared" si="101"/>
      </c>
      <c r="FC58" s="165">
        <f>IF(FB58="","",VLOOKUP(FB58,Picklist!$C$2:$E$5,3))</f>
      </c>
      <c r="FD58" s="594">
        <f t="shared" si="102"/>
      </c>
      <c r="FE58" s="165"/>
      <c r="FF58" s="166">
        <f t="shared" si="10"/>
      </c>
      <c r="FG58" s="593">
        <f t="shared" si="103"/>
        <v>4.356071295492423</v>
      </c>
      <c r="FH58" s="594" t="str">
        <f t="shared" si="104"/>
        <v>n/a</v>
      </c>
      <c r="FI58" s="594">
        <f t="shared" si="105"/>
        <v>0.7196435225378828</v>
      </c>
      <c r="FJ58" s="165">
        <f t="shared" si="106"/>
        <v>0.21780356477462112</v>
      </c>
      <c r="FK58" s="165" t="str">
        <f t="shared" si="107"/>
        <v>n/a</v>
      </c>
      <c r="FL58" s="165">
        <f t="shared" si="108"/>
        <v>0.010280621750541183</v>
      </c>
      <c r="FM58" s="167">
        <f t="shared" si="109"/>
        <v>0.2280841865251623</v>
      </c>
      <c r="FN58" s="165">
        <f t="shared" si="110"/>
        <v>0.8712142590984847</v>
      </c>
      <c r="FO58" s="165" t="str">
        <f t="shared" si="150"/>
        <v>n/a</v>
      </c>
      <c r="FP58" s="165">
        <f t="shared" si="111"/>
        <v>0.028785740901515307</v>
      </c>
      <c r="FQ58" s="168">
        <f t="shared" si="112"/>
        <v>0.9</v>
      </c>
      <c r="FR58" s="185"/>
      <c r="FS58" s="165">
        <f t="shared" si="113"/>
        <v>0.5349999999999999</v>
      </c>
      <c r="FT58" s="165" t="str">
        <f t="shared" si="114"/>
        <v>n/a</v>
      </c>
      <c r="FU58" s="165">
        <f t="shared" si="115"/>
        <v>0.01767690464369434</v>
      </c>
      <c r="FV58" s="596">
        <f>IF(SUM(FS58:FU58)&lt;$BZ$4,"",adjustparameter($AB58,0.01,SUM(FS58,FT58,FU58)/$AB58,$BZ$4))</f>
      </c>
      <c r="FW58" s="166">
        <f t="shared" si="116"/>
      </c>
      <c r="FX58" s="597">
        <f>IF($CK58="n/a","",IF(SUM(FS58:FU58)&lt;$BZ$4,"",adjustparameter($AO58,0.5*$AO58,SUM(SUM(FU58)*FV58/$AB58/$AO58),($BZ$4-SUM(FS58:FT58)*FV58/$AB58))))</f>
      </c>
      <c r="FY58" s="166">
        <f t="shared" si="117"/>
      </c>
      <c r="FZ58" s="165"/>
      <c r="GA58" s="166">
        <f t="shared" si="118"/>
      </c>
      <c r="GB58" s="165"/>
      <c r="GC58" s="166">
        <f t="shared" si="119"/>
      </c>
      <c r="GD58" s="595">
        <f t="shared" si="120"/>
      </c>
      <c r="GE58" s="165">
        <f>IF(GD58="","",VLOOKUP(GD58,Picklist!$C$2:$E$5,3))</f>
      </c>
      <c r="GF58" s="594">
        <f t="shared" si="121"/>
      </c>
      <c r="GG58" s="165"/>
      <c r="GH58" s="166">
        <f t="shared" si="12"/>
      </c>
      <c r="GI58" s="593">
        <f t="shared" si="122"/>
        <v>10.699999999999998</v>
      </c>
      <c r="GJ58" s="594" t="str">
        <f t="shared" si="123"/>
        <v>n/a</v>
      </c>
      <c r="GK58" s="594">
        <f t="shared" si="124"/>
        <v>1.7676904643694342</v>
      </c>
      <c r="GL58" s="165">
        <f t="shared" si="125"/>
        <v>0.5349999999999999</v>
      </c>
      <c r="GM58" s="165" t="str">
        <f t="shared" si="126"/>
        <v>n/a</v>
      </c>
      <c r="GN58" s="165">
        <f t="shared" si="127"/>
        <v>0.025252720919563345</v>
      </c>
      <c r="GO58" s="167">
        <f t="shared" si="128"/>
        <v>0.5602527209195632</v>
      </c>
      <c r="GP58" s="165">
        <f t="shared" si="129"/>
        <v>0.5349999999999999</v>
      </c>
      <c r="GQ58" s="165" t="str">
        <f t="shared" si="151"/>
        <v>n/a</v>
      </c>
      <c r="GR58" s="165">
        <f t="shared" si="130"/>
        <v>0.01767690464369434</v>
      </c>
      <c r="GS58" s="170">
        <f t="shared" si="131"/>
        <v>0.5526769046436942</v>
      </c>
    </row>
    <row r="59" spans="1:248" s="171" customFormat="1" ht="171">
      <c r="A59" s="139"/>
      <c r="B59" s="145"/>
      <c r="C59" s="187" t="s">
        <v>387</v>
      </c>
      <c r="D59" s="188" t="s">
        <v>244</v>
      </c>
      <c r="E59" s="189"/>
      <c r="F59" s="190">
        <v>0.2</v>
      </c>
      <c r="G59" s="191" t="s">
        <v>458</v>
      </c>
      <c r="H59" s="191" t="s">
        <v>458</v>
      </c>
      <c r="I59" s="191"/>
      <c r="J59" s="191" t="s">
        <v>139</v>
      </c>
      <c r="K59" s="191">
        <v>1</v>
      </c>
      <c r="L59" s="191">
        <v>6600</v>
      </c>
      <c r="M59" s="191">
        <v>5</v>
      </c>
      <c r="N59" s="118">
        <v>10</v>
      </c>
      <c r="O59" s="118">
        <v>20</v>
      </c>
      <c r="P59" s="140"/>
      <c r="Q59" s="151">
        <f t="shared" si="14"/>
        <v>1320.0000000000002</v>
      </c>
      <c r="R59" s="132">
        <f t="shared" si="15"/>
        <v>100</v>
      </c>
      <c r="S59" s="143" t="str">
        <f t="shared" si="16"/>
        <v>n/a</v>
      </c>
      <c r="T59" s="143" t="str">
        <f t="shared" si="17"/>
        <v>n/a</v>
      </c>
      <c r="U59" s="143" t="str">
        <f t="shared" si="18"/>
        <v>n/a</v>
      </c>
      <c r="V59" s="152">
        <f t="shared" si="19"/>
        <v>1420.0000000000002</v>
      </c>
      <c r="W59" s="153">
        <f t="shared" si="20"/>
        <v>66.00000000000001</v>
      </c>
      <c r="X59" s="154">
        <f t="shared" si="21"/>
        <v>5</v>
      </c>
      <c r="Y59" s="154" t="str">
        <f t="shared" si="22"/>
        <v>n/a</v>
      </c>
      <c r="Z59" s="154" t="str">
        <f t="shared" si="23"/>
        <v>n/a</v>
      </c>
      <c r="AA59" s="155">
        <f t="shared" si="24"/>
        <v>71.00000000000001</v>
      </c>
      <c r="AB59" s="81">
        <v>0.2</v>
      </c>
      <c r="AC59" s="81" t="s">
        <v>340</v>
      </c>
      <c r="AD59" s="156">
        <v>1</v>
      </c>
      <c r="AE59" s="118" t="s">
        <v>646</v>
      </c>
      <c r="AF59" s="81">
        <v>6600</v>
      </c>
      <c r="AG59" s="118" t="s">
        <v>370</v>
      </c>
      <c r="AH59" s="310">
        <v>1E-06</v>
      </c>
      <c r="AI59" s="81" t="s">
        <v>342</v>
      </c>
      <c r="AJ59" s="95"/>
      <c r="AK59" s="95"/>
      <c r="AL59" s="129"/>
      <c r="AM59" s="572">
        <f>15*0.000001</f>
        <v>1.4999999999999999E-05</v>
      </c>
      <c r="AN59" s="118" t="s">
        <v>588</v>
      </c>
      <c r="AO59" s="81">
        <v>10</v>
      </c>
      <c r="AP59" s="114"/>
      <c r="AQ59" s="87"/>
      <c r="AR59" s="81"/>
      <c r="AS59" s="129"/>
      <c r="AT59" s="120">
        <f t="shared" si="25"/>
      </c>
      <c r="AU59" s="131"/>
      <c r="AV59" s="131">
        <f t="shared" si="140"/>
      </c>
      <c r="AW59" s="156">
        <f t="shared" si="152"/>
      </c>
      <c r="AX59" s="118"/>
      <c r="AY59" s="118"/>
      <c r="AZ59" s="141"/>
      <c r="BA59" s="125">
        <f t="shared" si="141"/>
        <v>0.0013200000000000002</v>
      </c>
      <c r="BB59" s="125">
        <f t="shared" si="142"/>
        <v>0.0013200000000000002</v>
      </c>
      <c r="BC59" s="120">
        <f t="shared" si="143"/>
        <v>2E-06</v>
      </c>
      <c r="BD59" s="120">
        <f t="shared" si="144"/>
        <v>0.0003</v>
      </c>
      <c r="BE59" s="120">
        <f t="shared" si="145"/>
        <v>0.0003</v>
      </c>
      <c r="BF59" s="120" t="str">
        <f t="shared" si="146"/>
        <v>n/a</v>
      </c>
      <c r="BG59" s="120" t="str">
        <f t="shared" si="28"/>
        <v>n/a</v>
      </c>
      <c r="BH59" s="120">
        <f t="shared" si="29"/>
      </c>
      <c r="BI59" s="120" t="str">
        <f t="shared" si="147"/>
        <v>n/a</v>
      </c>
      <c r="BJ59" s="158" t="str">
        <f t="shared" si="30"/>
        <v>n/a</v>
      </c>
      <c r="BK59" s="159">
        <f t="shared" si="31"/>
        <v>0.0016200000000000001</v>
      </c>
      <c r="BL59" s="160" t="str">
        <f t="shared" si="32"/>
        <v>n/a</v>
      </c>
      <c r="BM59" s="161" t="str">
        <f t="shared" si="33"/>
        <v>n/a</v>
      </c>
      <c r="BN59" s="161">
        <f t="shared" si="34"/>
        <v>6.6E-05</v>
      </c>
      <c r="BO59" s="162">
        <f t="shared" si="35"/>
        <v>1.4999999999999999E-05</v>
      </c>
      <c r="BP59" s="161" t="str">
        <f t="shared" si="36"/>
        <v>n/a</v>
      </c>
      <c r="BQ59" s="162">
        <f t="shared" si="37"/>
        <v>8.1E-05</v>
      </c>
      <c r="BR59" s="161">
        <f t="shared" si="38"/>
        <v>6.6E-05</v>
      </c>
      <c r="BS59" s="161">
        <f t="shared" si="39"/>
        <v>1.4999999999999999E-05</v>
      </c>
      <c r="BT59" s="161" t="str">
        <f t="shared" si="40"/>
        <v>n/a</v>
      </c>
      <c r="BU59" s="161">
        <f t="shared" si="41"/>
        <v>8.1E-05</v>
      </c>
      <c r="BV59" s="163" t="str">
        <f t="shared" si="42"/>
        <v>Unless otherwise stated, covers concentrations up to 20% [ConsOC1]; covers use up to 364 days/year[ConsOC3]; covers use up to 1 time/on day of use[ConsOC4]; covers skin contact area up to 6.600,00 cm2 [ConsOC5]; for each use event, assumes swallowed amount of 0,000015g [ConsOC13]; for each use event, covers use amounts up to 10g [ConsOC2]; </v>
      </c>
      <c r="BW59" s="126" t="str">
        <f t="shared" si="43"/>
        <v>No specific RMMs identified beyond those OCs stated</v>
      </c>
      <c r="BX59" s="125" t="str">
        <f t="shared" si="44"/>
        <v>Based upon daily use</v>
      </c>
      <c r="BY59" s="120">
        <f t="shared" si="45"/>
        <v>6.6E-05</v>
      </c>
      <c r="BZ59" s="120">
        <f t="shared" si="46"/>
        <v>1.4999999999999999E-05</v>
      </c>
      <c r="CA59" s="120" t="str">
        <f t="shared" si="47"/>
        <v>n/a</v>
      </c>
      <c r="CB59" s="164">
        <f t="shared" si="48"/>
        <v>8.1E-05</v>
      </c>
      <c r="CC59" s="120">
        <f t="shared" si="49"/>
        <v>0.0013200000000000002</v>
      </c>
      <c r="CD59" s="120">
        <f t="shared" si="50"/>
        <v>0.0003</v>
      </c>
      <c r="CE59" s="159" t="str">
        <f t="shared" si="51"/>
        <v>n/a</v>
      </c>
      <c r="CF59" s="194"/>
      <c r="CG59" s="195" t="str">
        <f t="shared" si="135"/>
        <v>PC36_n: Water softners</v>
      </c>
      <c r="CH59" s="129"/>
      <c r="CI59" s="120">
        <f t="shared" si="52"/>
        <v>0.0013200000000000002</v>
      </c>
      <c r="CJ59" s="120">
        <f t="shared" si="53"/>
        <v>0.0003</v>
      </c>
      <c r="CK59" s="120" t="str">
        <f t="shared" si="54"/>
        <v>n/a</v>
      </c>
      <c r="CL59" s="124"/>
      <c r="CM59" s="165">
        <f t="shared" si="55"/>
        <v>0.013200000000000002</v>
      </c>
      <c r="CN59" s="165">
        <f t="shared" si="56"/>
        <v>0.0029999999999999996</v>
      </c>
      <c r="CO59" s="165" t="str">
        <f t="shared" si="57"/>
        <v>n/a</v>
      </c>
      <c r="CP59" s="598">
        <f>IF(SUM(CM59:CO59)&lt;$BZ$4,"",adjustparameter($AB59,0.01,SUM(CM59,CN59,CO59)/$AB59,$BZ$4))</f>
      </c>
      <c r="CQ59" s="166">
        <f t="shared" si="58"/>
      </c>
      <c r="CR59" s="599">
        <f>IF($CK59="n/a","",IF(SUM(CM59:CO59)&lt;$BZ$4,"",adjustparameter($AO59,0.5*$AO59,SUM(SUM(CO59)*CP59/$AB59/$AO59),($BZ$4-SUM(CM59:CN59)*CP59/$AB59))))</f>
      </c>
      <c r="CS59" s="166">
        <f t="shared" si="59"/>
      </c>
      <c r="CT59" s="124"/>
      <c r="CU59" s="166">
        <f t="shared" si="60"/>
      </c>
      <c r="CV59" s="124"/>
      <c r="CW59" s="166">
        <f t="shared" si="61"/>
      </c>
      <c r="CX59" s="595">
        <f t="shared" si="62"/>
      </c>
      <c r="CY59" s="165">
        <f>IF(CX59="","",VLOOKUP(CX59,Picklist!$C$2:$E$5,3))</f>
      </c>
      <c r="CZ59" s="594">
        <f t="shared" si="63"/>
      </c>
      <c r="DA59" s="165"/>
      <c r="DB59" s="166">
        <f t="shared" si="64"/>
      </c>
      <c r="DC59" s="165">
        <f t="shared" si="65"/>
        <v>0.0013200000000000002</v>
      </c>
      <c r="DD59" s="165">
        <f t="shared" si="66"/>
        <v>0.0003</v>
      </c>
      <c r="DE59" s="165" t="str">
        <f t="shared" si="67"/>
        <v>n/a</v>
      </c>
      <c r="DF59" s="165">
        <f t="shared" si="68"/>
        <v>6.6E-05</v>
      </c>
      <c r="DG59" s="165">
        <f t="shared" si="69"/>
        <v>1.4999999999999999E-05</v>
      </c>
      <c r="DH59" s="165" t="str">
        <f t="shared" si="70"/>
        <v>n/a</v>
      </c>
      <c r="DI59" s="167">
        <f t="shared" si="71"/>
        <v>8.1E-05</v>
      </c>
      <c r="DJ59" s="165">
        <f t="shared" si="72"/>
        <v>0.013200000000000002</v>
      </c>
      <c r="DK59" s="165">
        <f t="shared" si="148"/>
        <v>0.0029999999999999996</v>
      </c>
      <c r="DL59" s="165" t="str">
        <f t="shared" si="73"/>
        <v>n/a</v>
      </c>
      <c r="DM59" s="168">
        <f t="shared" si="74"/>
        <v>0.016200000000000003</v>
      </c>
      <c r="DN59" s="169"/>
      <c r="DO59" s="165">
        <f t="shared" si="75"/>
        <v>0.0013200000000000002</v>
      </c>
      <c r="DP59" s="165">
        <f t="shared" si="76"/>
        <v>0.0003</v>
      </c>
      <c r="DQ59" s="165" t="str">
        <f t="shared" si="77"/>
        <v>n/a</v>
      </c>
      <c r="DR59" s="598">
        <f>IF(SUM(DO59:DQ59)&lt;$BZ$4,"",adjustparameter($AB59,0.01,SUM(DO59,DP59,DQ59)/$AB59,$BZ$4))</f>
      </c>
      <c r="DS59" s="166">
        <f t="shared" si="78"/>
      </c>
      <c r="DT59" s="597">
        <f>IF($CK59="n/a","",IF(SUM(DO59:DQ59)&lt;$BZ$4,"",adjustparameter($AO59,0.5*$AO59,SUM(SUM(DQ59)*DR59/$AB59/$AO59),($BZ$4-SUM(DO59:DP59)*DR59/$AB59))))</f>
      </c>
      <c r="DU59" s="166">
        <f t="shared" si="8"/>
      </c>
      <c r="DV59" s="124"/>
      <c r="DW59" s="166">
        <f t="shared" si="79"/>
      </c>
      <c r="DX59" s="124"/>
      <c r="DY59" s="166">
        <f t="shared" si="80"/>
      </c>
      <c r="DZ59" s="595">
        <f t="shared" si="81"/>
      </c>
      <c r="EA59" s="165">
        <f>IF(DZ59="","",VLOOKUP(DZ59,Picklist!$C$2:$E$5,3))</f>
      </c>
      <c r="EB59" s="594">
        <f t="shared" si="82"/>
      </c>
      <c r="EC59" s="197"/>
      <c r="ED59" s="166">
        <f t="shared" si="83"/>
      </c>
      <c r="EE59" s="593">
        <f t="shared" si="84"/>
        <v>0.0013200000000000002</v>
      </c>
      <c r="EF59" s="594">
        <f t="shared" si="85"/>
        <v>0.0003</v>
      </c>
      <c r="EG59" s="594" t="str">
        <f t="shared" si="86"/>
        <v>n/a</v>
      </c>
      <c r="EH59" s="165">
        <f t="shared" si="87"/>
        <v>6.6E-05</v>
      </c>
      <c r="EI59" s="165">
        <f t="shared" si="88"/>
        <v>1.4999999999999999E-05</v>
      </c>
      <c r="EJ59" s="165" t="str">
        <f t="shared" si="89"/>
        <v>n/a</v>
      </c>
      <c r="EK59" s="167">
        <f t="shared" si="90"/>
        <v>8.1E-05</v>
      </c>
      <c r="EL59" s="165">
        <f t="shared" si="91"/>
        <v>0.0013200000000000002</v>
      </c>
      <c r="EM59" s="165">
        <f t="shared" si="149"/>
        <v>0.0003</v>
      </c>
      <c r="EN59" s="165" t="str">
        <f t="shared" si="92"/>
        <v>n/a</v>
      </c>
      <c r="EO59" s="168">
        <f t="shared" si="93"/>
        <v>0.0016200000000000001</v>
      </c>
      <c r="EP59" s="169"/>
      <c r="EQ59" s="165">
        <f t="shared" si="94"/>
        <v>0.000264</v>
      </c>
      <c r="ER59" s="165">
        <f t="shared" si="95"/>
        <v>5.9999999999999995E-05</v>
      </c>
      <c r="ES59" s="165" t="str">
        <f t="shared" si="96"/>
        <v>n/a</v>
      </c>
      <c r="ET59" s="596">
        <f>IF(SUM(EQ59:ES59)&lt;$BZ$4,"",adjustparameter($AB59,0.01,SUM(EQ59,ER59,ES59)/$AB59,$BZ$4))</f>
      </c>
      <c r="EU59" s="166">
        <f t="shared" si="97"/>
      </c>
      <c r="EV59" s="597">
        <f>IF($CK59="n/a","",IF(SUM(EQ59:ES59)&lt;$BZ$4,"",adjustparameter($AO59,0.5*$AO59,SUM(SUM(ES59)*ET59/$AB59/$AO59),($BZ$4-SUM(EQ59:ER59)*ET59/$AB59))))</f>
      </c>
      <c r="EW59" s="166">
        <f t="shared" si="98"/>
      </c>
      <c r="EX59" s="124"/>
      <c r="EY59" s="166">
        <f t="shared" si="99"/>
      </c>
      <c r="EZ59" s="124"/>
      <c r="FA59" s="166">
        <f t="shared" si="100"/>
      </c>
      <c r="FB59" s="595">
        <f t="shared" si="101"/>
      </c>
      <c r="FC59" s="165">
        <f>IF(FB59="","",VLOOKUP(FB59,Picklist!$C$2:$E$5,3))</f>
      </c>
      <c r="FD59" s="594">
        <f t="shared" si="102"/>
      </c>
      <c r="FE59" s="197"/>
      <c r="FF59" s="166">
        <f t="shared" si="10"/>
      </c>
      <c r="FG59" s="593">
        <f t="shared" si="103"/>
        <v>0.0013200000000000002</v>
      </c>
      <c r="FH59" s="594">
        <f t="shared" si="104"/>
        <v>0.0003</v>
      </c>
      <c r="FI59" s="594" t="str">
        <f t="shared" si="105"/>
        <v>n/a</v>
      </c>
      <c r="FJ59" s="165">
        <f t="shared" si="106"/>
        <v>6.6E-05</v>
      </c>
      <c r="FK59" s="165">
        <f t="shared" si="107"/>
        <v>1.4999999999999999E-05</v>
      </c>
      <c r="FL59" s="165" t="str">
        <f t="shared" si="108"/>
        <v>n/a</v>
      </c>
      <c r="FM59" s="167">
        <f t="shared" si="109"/>
        <v>8.1E-05</v>
      </c>
      <c r="FN59" s="165">
        <f t="shared" si="110"/>
        <v>0.000264</v>
      </c>
      <c r="FO59" s="165">
        <f t="shared" si="150"/>
        <v>5.9999999999999995E-05</v>
      </c>
      <c r="FP59" s="165" t="str">
        <f t="shared" si="111"/>
        <v>n/a</v>
      </c>
      <c r="FQ59" s="168">
        <f t="shared" si="112"/>
        <v>0.000324</v>
      </c>
      <c r="FR59" s="169"/>
      <c r="FS59" s="165">
        <f t="shared" si="113"/>
        <v>6.6E-05</v>
      </c>
      <c r="FT59" s="165">
        <f t="shared" si="114"/>
        <v>1.4999999999999999E-05</v>
      </c>
      <c r="FU59" s="165" t="str">
        <f t="shared" si="115"/>
        <v>n/a</v>
      </c>
      <c r="FV59" s="596">
        <f>IF(SUM(FS59:FU59)&lt;$BZ$4,"",adjustparameter($AB59,0.01,SUM(FS59,FT59,FU59)/$AB59,$BZ$4))</f>
      </c>
      <c r="FW59" s="166">
        <f t="shared" si="116"/>
      </c>
      <c r="FX59" s="597">
        <f>IF($CK59="n/a","",IF(SUM(FS59:FU59)&lt;$BZ$4,"",adjustparameter($AO59,0.5*$AO59,SUM(SUM(FU59)*FV59/$AB59/$AO59),($BZ$4-SUM(FS59:FT59)*FV59/$AB59))))</f>
      </c>
      <c r="FY59" s="166">
        <f t="shared" si="117"/>
      </c>
      <c r="FZ59" s="124"/>
      <c r="GA59" s="166">
        <f t="shared" si="118"/>
      </c>
      <c r="GB59" s="124"/>
      <c r="GC59" s="166">
        <f t="shared" si="119"/>
      </c>
      <c r="GD59" s="595">
        <f t="shared" si="120"/>
      </c>
      <c r="GE59" s="165">
        <f>IF(GD59="","",VLOOKUP(GD59,Picklist!$C$2:$E$5,3))</f>
      </c>
      <c r="GF59" s="594">
        <f t="shared" si="121"/>
      </c>
      <c r="GG59" s="197"/>
      <c r="GH59" s="166">
        <f t="shared" si="12"/>
      </c>
      <c r="GI59" s="593">
        <f t="shared" si="122"/>
        <v>0.0013200000000000002</v>
      </c>
      <c r="GJ59" s="594">
        <f t="shared" si="123"/>
        <v>0.0003</v>
      </c>
      <c r="GK59" s="594" t="str">
        <f t="shared" si="124"/>
        <v>n/a</v>
      </c>
      <c r="GL59" s="165">
        <f t="shared" si="125"/>
        <v>6.6E-05</v>
      </c>
      <c r="GM59" s="165">
        <f t="shared" si="126"/>
        <v>1.4999999999999999E-05</v>
      </c>
      <c r="GN59" s="165" t="str">
        <f t="shared" si="127"/>
        <v>n/a</v>
      </c>
      <c r="GO59" s="167">
        <f t="shared" si="128"/>
        <v>8.1E-05</v>
      </c>
      <c r="GP59" s="165">
        <f t="shared" si="129"/>
        <v>6.6E-05</v>
      </c>
      <c r="GQ59" s="165">
        <f t="shared" si="151"/>
        <v>1.4999999999999999E-05</v>
      </c>
      <c r="GR59" s="165" t="str">
        <f t="shared" si="130"/>
        <v>n/a</v>
      </c>
      <c r="GS59" s="170">
        <f t="shared" si="131"/>
        <v>8.1E-05</v>
      </c>
      <c r="GT59" s="139"/>
      <c r="GU59" s="139"/>
      <c r="GV59" s="139"/>
      <c r="GW59" s="139"/>
      <c r="GX59" s="139"/>
      <c r="GY59" s="139"/>
      <c r="GZ59" s="139"/>
      <c r="HA59" s="139"/>
      <c r="HB59" s="139"/>
      <c r="HC59" s="139"/>
      <c r="HD59" s="139"/>
      <c r="HE59" s="139"/>
      <c r="HF59" s="139"/>
      <c r="HG59" s="139"/>
      <c r="HH59" s="139"/>
      <c r="HI59" s="139"/>
      <c r="HJ59" s="139"/>
      <c r="HK59" s="139"/>
      <c r="HL59" s="139"/>
      <c r="HM59" s="139"/>
      <c r="HN59" s="139"/>
      <c r="HO59" s="139"/>
      <c r="HP59" s="139"/>
      <c r="HQ59" s="139"/>
      <c r="HR59" s="139"/>
      <c r="HS59" s="139"/>
      <c r="HT59" s="139"/>
      <c r="HU59" s="139"/>
      <c r="HV59" s="139"/>
      <c r="HW59" s="139"/>
      <c r="HX59" s="139"/>
      <c r="HY59" s="139"/>
      <c r="HZ59" s="139"/>
      <c r="IA59" s="139"/>
      <c r="IB59" s="139"/>
      <c r="IC59" s="139"/>
      <c r="ID59" s="139"/>
      <c r="IE59" s="139"/>
      <c r="IF59" s="139"/>
      <c r="IG59" s="139"/>
      <c r="IH59" s="139"/>
      <c r="II59" s="139"/>
      <c r="IJ59" s="139"/>
      <c r="IK59" s="139"/>
      <c r="IL59" s="139"/>
      <c r="IM59" s="139"/>
      <c r="IN59" s="139"/>
    </row>
    <row r="60" spans="1:248" s="171" customFormat="1" ht="171">
      <c r="A60" s="139"/>
      <c r="B60" s="145"/>
      <c r="C60" s="172" t="s">
        <v>387</v>
      </c>
      <c r="D60" s="253" t="s">
        <v>245</v>
      </c>
      <c r="E60" s="254"/>
      <c r="F60" s="255">
        <v>0.2</v>
      </c>
      <c r="G60" s="225" t="s">
        <v>458</v>
      </c>
      <c r="H60" s="225" t="s">
        <v>458</v>
      </c>
      <c r="I60" s="225"/>
      <c r="J60" s="225" t="s">
        <v>139</v>
      </c>
      <c r="K60" s="225">
        <v>1</v>
      </c>
      <c r="L60" s="225">
        <v>6600</v>
      </c>
      <c r="M60" s="225">
        <v>54</v>
      </c>
      <c r="N60" s="129">
        <v>10</v>
      </c>
      <c r="O60" s="129">
        <v>20</v>
      </c>
      <c r="P60" s="256"/>
      <c r="Q60" s="151">
        <f t="shared" si="14"/>
        <v>13200</v>
      </c>
      <c r="R60" s="132">
        <f t="shared" si="15"/>
        <v>1080</v>
      </c>
      <c r="S60" s="143" t="str">
        <f t="shared" si="16"/>
        <v>n/a</v>
      </c>
      <c r="T60" s="143" t="str">
        <f t="shared" si="17"/>
        <v>n/a</v>
      </c>
      <c r="U60" s="143" t="str">
        <f t="shared" si="18"/>
        <v>n/a</v>
      </c>
      <c r="V60" s="152">
        <f t="shared" si="19"/>
        <v>14280</v>
      </c>
      <c r="W60" s="153">
        <f t="shared" si="20"/>
        <v>660</v>
      </c>
      <c r="X60" s="154">
        <f t="shared" si="21"/>
        <v>54</v>
      </c>
      <c r="Y60" s="154" t="str">
        <f t="shared" si="22"/>
        <v>n/a</v>
      </c>
      <c r="Z60" s="154" t="str">
        <f t="shared" si="23"/>
        <v>n/a</v>
      </c>
      <c r="AA60" s="155">
        <f t="shared" si="24"/>
        <v>714</v>
      </c>
      <c r="AB60" s="106">
        <v>0.2</v>
      </c>
      <c r="AC60" s="81" t="s">
        <v>340</v>
      </c>
      <c r="AD60" s="610">
        <v>1</v>
      </c>
      <c r="AE60" s="118" t="s">
        <v>646</v>
      </c>
      <c r="AF60" s="106">
        <v>6600</v>
      </c>
      <c r="AG60" s="118" t="s">
        <v>370</v>
      </c>
      <c r="AH60" s="311">
        <v>1E-06</v>
      </c>
      <c r="AI60" s="81" t="s">
        <v>341</v>
      </c>
      <c r="AJ60" s="107"/>
      <c r="AK60" s="107"/>
      <c r="AL60" s="129"/>
      <c r="AM60" s="573">
        <f>154*0.000001</f>
        <v>0.000154</v>
      </c>
      <c r="AN60" s="118" t="s">
        <v>343</v>
      </c>
      <c r="AO60" s="106">
        <v>10</v>
      </c>
      <c r="AP60" s="114" t="s">
        <v>344</v>
      </c>
      <c r="AQ60" s="117"/>
      <c r="AR60" s="106"/>
      <c r="AS60" s="129"/>
      <c r="AT60" s="120">
        <f t="shared" si="25"/>
      </c>
      <c r="AU60" s="118"/>
      <c r="AV60" s="131">
        <f t="shared" si="140"/>
      </c>
      <c r="AW60" s="156">
        <f t="shared" si="152"/>
      </c>
      <c r="AX60" s="129"/>
      <c r="AY60" s="118"/>
      <c r="AZ60" s="141"/>
      <c r="BA60" s="125">
        <f t="shared" si="141"/>
        <v>0.0132</v>
      </c>
      <c r="BB60" s="125">
        <f t="shared" si="142"/>
        <v>0.0132</v>
      </c>
      <c r="BC60" s="120">
        <f t="shared" si="143"/>
        <v>2E-05</v>
      </c>
      <c r="BD60" s="120">
        <f t="shared" si="144"/>
        <v>0.00308</v>
      </c>
      <c r="BE60" s="120">
        <f t="shared" si="145"/>
        <v>0.00308</v>
      </c>
      <c r="BF60" s="120" t="str">
        <f t="shared" si="146"/>
        <v>n/a</v>
      </c>
      <c r="BG60" s="120" t="str">
        <f t="shared" si="28"/>
        <v>n/a</v>
      </c>
      <c r="BH60" s="120">
        <f t="shared" si="29"/>
      </c>
      <c r="BI60" s="120" t="str">
        <f t="shared" si="147"/>
        <v>n/a</v>
      </c>
      <c r="BJ60" s="158" t="str">
        <f t="shared" si="30"/>
        <v>n/a</v>
      </c>
      <c r="BK60" s="159">
        <f t="shared" si="31"/>
        <v>0.01628</v>
      </c>
      <c r="BL60" s="160" t="str">
        <f t="shared" si="32"/>
        <v>n/a</v>
      </c>
      <c r="BM60" s="161" t="str">
        <f t="shared" si="33"/>
        <v>n/a</v>
      </c>
      <c r="BN60" s="161">
        <f t="shared" si="34"/>
        <v>0.00066</v>
      </c>
      <c r="BO60" s="162">
        <f t="shared" si="35"/>
        <v>0.000154</v>
      </c>
      <c r="BP60" s="161" t="str">
        <f t="shared" si="36"/>
        <v>n/a</v>
      </c>
      <c r="BQ60" s="162">
        <f t="shared" si="37"/>
        <v>0.000814</v>
      </c>
      <c r="BR60" s="161">
        <f t="shared" si="38"/>
        <v>0.00066</v>
      </c>
      <c r="BS60" s="161">
        <f t="shared" si="39"/>
        <v>0.000154</v>
      </c>
      <c r="BT60" s="161" t="str">
        <f t="shared" si="40"/>
        <v>n/a</v>
      </c>
      <c r="BU60" s="161">
        <f t="shared" si="41"/>
        <v>0.000814</v>
      </c>
      <c r="BV60" s="163" t="str">
        <f t="shared" si="42"/>
        <v>Unless otherwise stated, covers concentrations up to 20% [ConsOC1]; covers use up to 364 days/year[ConsOC3]; covers use up to 1 time/on day of use[ConsOC4]; covers skin contact area up to 6.600,00 cm2 [ConsOC5]; for each use event, assumes swallowed amount of 0,000154g [ConsOC13]; for each use event, covers use amounts up to 10g [ConsOC2]; </v>
      </c>
      <c r="BW60" s="126" t="str">
        <f t="shared" si="43"/>
        <v>No specific RMMs identified beyond those OCs stated</v>
      </c>
      <c r="BX60" s="125" t="str">
        <f t="shared" si="44"/>
        <v>Based upon daily use</v>
      </c>
      <c r="BY60" s="120">
        <f t="shared" si="45"/>
        <v>0.00066</v>
      </c>
      <c r="BZ60" s="120">
        <f t="shared" si="46"/>
        <v>0.000154</v>
      </c>
      <c r="CA60" s="120" t="str">
        <f t="shared" si="47"/>
        <v>n/a</v>
      </c>
      <c r="CB60" s="164">
        <f t="shared" si="48"/>
        <v>0.000814</v>
      </c>
      <c r="CC60" s="120">
        <f t="shared" si="49"/>
        <v>0.0132</v>
      </c>
      <c r="CD60" s="120">
        <f t="shared" si="50"/>
        <v>0.00308</v>
      </c>
      <c r="CE60" s="159" t="str">
        <f t="shared" si="51"/>
        <v>n/a</v>
      </c>
      <c r="CF60" s="199"/>
      <c r="CG60" s="195" t="str">
        <f t="shared" si="135"/>
        <v>PC37_n: Water treatment chemicals</v>
      </c>
      <c r="CH60" s="129"/>
      <c r="CI60" s="120">
        <f t="shared" si="52"/>
        <v>0.0132</v>
      </c>
      <c r="CJ60" s="120">
        <f t="shared" si="53"/>
        <v>0.00308</v>
      </c>
      <c r="CK60" s="120" t="str">
        <f t="shared" si="54"/>
        <v>n/a</v>
      </c>
      <c r="CL60" s="198"/>
      <c r="CM60" s="165">
        <f t="shared" si="55"/>
        <v>0.13199999999999998</v>
      </c>
      <c r="CN60" s="165">
        <f t="shared" si="56"/>
        <v>0.030799999999999998</v>
      </c>
      <c r="CO60" s="165" t="str">
        <f t="shared" si="57"/>
        <v>n/a</v>
      </c>
      <c r="CP60" s="598">
        <f>IF(SUM(CM60:CO60)&lt;$BZ$4,"",adjustparameter($AB60,0.01,SUM(CM60,CN60,CO60)/$AB60,$BZ$4))</f>
      </c>
      <c r="CQ60" s="166">
        <f t="shared" si="58"/>
      </c>
      <c r="CR60" s="599">
        <f>IF($CK60="n/a","",IF(SUM(CM60:CO60)&lt;$BZ$4,"",adjustparameter($AO60,0.5*$AO60,SUM(SUM(CO60)*CP60/$AB60/$AO60),($BZ$4-SUM(CM60:CN60)*CP60/$AB60))))</f>
      </c>
      <c r="CS60" s="166">
        <f t="shared" si="59"/>
      </c>
      <c r="CT60" s="198"/>
      <c r="CU60" s="166">
        <f t="shared" si="60"/>
      </c>
      <c r="CV60" s="124"/>
      <c r="CW60" s="166">
        <f t="shared" si="61"/>
      </c>
      <c r="CX60" s="595">
        <f t="shared" si="62"/>
      </c>
      <c r="CY60" s="165">
        <f>IF(CX60="","",VLOOKUP(CX60,Picklist!$C$2:$E$5,3))</f>
      </c>
      <c r="CZ60" s="594">
        <f t="shared" si="63"/>
      </c>
      <c r="DA60" s="165"/>
      <c r="DB60" s="166">
        <f t="shared" si="64"/>
      </c>
      <c r="DC60" s="165">
        <f t="shared" si="65"/>
        <v>0.0132</v>
      </c>
      <c r="DD60" s="165">
        <f t="shared" si="66"/>
        <v>0.00308</v>
      </c>
      <c r="DE60" s="165" t="str">
        <f t="shared" si="67"/>
        <v>n/a</v>
      </c>
      <c r="DF60" s="165">
        <f t="shared" si="68"/>
        <v>0.00066</v>
      </c>
      <c r="DG60" s="165">
        <f t="shared" si="69"/>
        <v>0.000154</v>
      </c>
      <c r="DH60" s="165" t="str">
        <f t="shared" si="70"/>
        <v>n/a</v>
      </c>
      <c r="DI60" s="167">
        <f t="shared" si="71"/>
        <v>0.000814</v>
      </c>
      <c r="DJ60" s="165">
        <f t="shared" si="72"/>
        <v>0.13199999999999998</v>
      </c>
      <c r="DK60" s="165">
        <f t="shared" si="148"/>
        <v>0.030799999999999998</v>
      </c>
      <c r="DL60" s="165" t="str">
        <f t="shared" si="73"/>
        <v>n/a</v>
      </c>
      <c r="DM60" s="168">
        <f t="shared" si="74"/>
        <v>0.16279999999999997</v>
      </c>
      <c r="DN60" s="257"/>
      <c r="DO60" s="165">
        <f t="shared" si="75"/>
        <v>0.0132</v>
      </c>
      <c r="DP60" s="165">
        <f t="shared" si="76"/>
        <v>0.00308</v>
      </c>
      <c r="DQ60" s="165" t="str">
        <f t="shared" si="77"/>
        <v>n/a</v>
      </c>
      <c r="DR60" s="598">
        <f>IF(SUM(DO60:DQ60)&lt;$BZ$4,"",adjustparameter($AB60,0.01,SUM(DO60,DP60,DQ60)/$AB60,$BZ$4))</f>
      </c>
      <c r="DS60" s="166">
        <f t="shared" si="78"/>
      </c>
      <c r="DT60" s="597">
        <f>IF($CK60="n/a","",IF(SUM(DO60:DQ60)&lt;$BZ$4,"",adjustparameter($AO60,0.5*$AO60,SUM(SUM(DQ60)*DR60/$AB60/$AO60),($BZ$4-SUM(DO60:DP60)*DR60/$AB60))))</f>
      </c>
      <c r="DU60" s="166">
        <f t="shared" si="8"/>
      </c>
      <c r="DV60" s="198"/>
      <c r="DW60" s="166">
        <f t="shared" si="79"/>
      </c>
      <c r="DX60" s="198"/>
      <c r="DY60" s="166">
        <f t="shared" si="80"/>
      </c>
      <c r="DZ60" s="595">
        <f t="shared" si="81"/>
      </c>
      <c r="EA60" s="165">
        <f>IF(DZ60="","",VLOOKUP(DZ60,Picklist!$C$2:$E$5,3))</f>
      </c>
      <c r="EB60" s="594">
        <f t="shared" si="82"/>
      </c>
      <c r="EC60" s="197"/>
      <c r="ED60" s="166">
        <f t="shared" si="83"/>
      </c>
      <c r="EE60" s="593">
        <f t="shared" si="84"/>
        <v>0.0132</v>
      </c>
      <c r="EF60" s="594">
        <f t="shared" si="85"/>
        <v>0.00308</v>
      </c>
      <c r="EG60" s="594" t="str">
        <f t="shared" si="86"/>
        <v>n/a</v>
      </c>
      <c r="EH60" s="165">
        <f t="shared" si="87"/>
        <v>0.00066</v>
      </c>
      <c r="EI60" s="165">
        <f t="shared" si="88"/>
        <v>0.000154</v>
      </c>
      <c r="EJ60" s="165" t="str">
        <f t="shared" si="89"/>
        <v>n/a</v>
      </c>
      <c r="EK60" s="167">
        <f t="shared" si="90"/>
        <v>0.000814</v>
      </c>
      <c r="EL60" s="165">
        <f t="shared" si="91"/>
        <v>0.0132</v>
      </c>
      <c r="EM60" s="165">
        <f t="shared" si="149"/>
        <v>0.00308</v>
      </c>
      <c r="EN60" s="165" t="str">
        <f t="shared" si="92"/>
        <v>n/a</v>
      </c>
      <c r="EO60" s="168">
        <f t="shared" si="93"/>
        <v>0.01628</v>
      </c>
      <c r="EP60" s="257"/>
      <c r="EQ60" s="165">
        <f t="shared" si="94"/>
        <v>0.00264</v>
      </c>
      <c r="ER60" s="165">
        <f t="shared" si="95"/>
        <v>0.000616</v>
      </c>
      <c r="ES60" s="165" t="str">
        <f t="shared" si="96"/>
        <v>n/a</v>
      </c>
      <c r="ET60" s="596">
        <f>IF(SUM(EQ60:ES60)&lt;$BZ$4,"",adjustparameter($AB60,0.01,SUM(EQ60,ER60,ES60)/$AB60,$BZ$4))</f>
      </c>
      <c r="EU60" s="166">
        <f t="shared" si="97"/>
      </c>
      <c r="EV60" s="597">
        <f>IF($CK60="n/a","",IF(SUM(EQ60:ES60)&lt;$BZ$4,"",adjustparameter($AO60,0.5*$AO60,SUM(SUM(ES60)*ET60/$AB60/$AO60),($BZ$4-SUM(EQ60:ER60)*ET60/$AB60))))</f>
      </c>
      <c r="EW60" s="166">
        <f t="shared" si="98"/>
      </c>
      <c r="EX60" s="198"/>
      <c r="EY60" s="166">
        <f t="shared" si="99"/>
      </c>
      <c r="EZ60" s="198"/>
      <c r="FA60" s="166">
        <f t="shared" si="100"/>
      </c>
      <c r="FB60" s="595">
        <f t="shared" si="101"/>
      </c>
      <c r="FC60" s="165">
        <f>IF(FB60="","",VLOOKUP(FB60,Picklist!$C$2:$E$5,3))</f>
      </c>
      <c r="FD60" s="594">
        <f t="shared" si="102"/>
      </c>
      <c r="FE60" s="197"/>
      <c r="FF60" s="166">
        <f t="shared" si="10"/>
      </c>
      <c r="FG60" s="593">
        <f t="shared" si="103"/>
        <v>0.0132</v>
      </c>
      <c r="FH60" s="594">
        <f t="shared" si="104"/>
        <v>0.00308</v>
      </c>
      <c r="FI60" s="594" t="str">
        <f t="shared" si="105"/>
        <v>n/a</v>
      </c>
      <c r="FJ60" s="165">
        <f t="shared" si="106"/>
        <v>0.00066</v>
      </c>
      <c r="FK60" s="165">
        <f t="shared" si="107"/>
        <v>0.000154</v>
      </c>
      <c r="FL60" s="165" t="str">
        <f t="shared" si="108"/>
        <v>n/a</v>
      </c>
      <c r="FM60" s="167">
        <f t="shared" si="109"/>
        <v>0.000814</v>
      </c>
      <c r="FN60" s="165">
        <f t="shared" si="110"/>
        <v>0.00264</v>
      </c>
      <c r="FO60" s="165">
        <f t="shared" si="150"/>
        <v>0.000616</v>
      </c>
      <c r="FP60" s="165" t="str">
        <f t="shared" si="111"/>
        <v>n/a</v>
      </c>
      <c r="FQ60" s="168">
        <f t="shared" si="112"/>
        <v>0.003256</v>
      </c>
      <c r="FR60" s="257"/>
      <c r="FS60" s="165">
        <f t="shared" si="113"/>
        <v>0.00066</v>
      </c>
      <c r="FT60" s="165">
        <f t="shared" si="114"/>
        <v>0.000154</v>
      </c>
      <c r="FU60" s="165" t="str">
        <f t="shared" si="115"/>
        <v>n/a</v>
      </c>
      <c r="FV60" s="596">
        <f>IF(SUM(FS60:FU60)&lt;$BZ$4,"",adjustparameter($AB60,0.01,SUM(FS60,FT60,FU60)/$AB60,$BZ$4))</f>
      </c>
      <c r="FW60" s="166">
        <f t="shared" si="116"/>
      </c>
      <c r="FX60" s="597">
        <f>IF($CK60="n/a","",IF(SUM(FS60:FU60)&lt;$BZ$4,"",adjustparameter($AO60,0.5*$AO60,SUM(SUM(FU60)*FV60/$AB60/$AO60),($BZ$4-SUM(FS60:FT60)*FV60/$AB60))))</f>
      </c>
      <c r="FY60" s="166">
        <f t="shared" si="117"/>
      </c>
      <c r="FZ60" s="198"/>
      <c r="GA60" s="166">
        <f t="shared" si="118"/>
      </c>
      <c r="GB60" s="198"/>
      <c r="GC60" s="166">
        <f t="shared" si="119"/>
      </c>
      <c r="GD60" s="595">
        <f t="shared" si="120"/>
      </c>
      <c r="GE60" s="165">
        <f>IF(GD60="","",VLOOKUP(GD60,Picklist!$C$2:$E$5,3))</f>
      </c>
      <c r="GF60" s="594">
        <f t="shared" si="121"/>
      </c>
      <c r="GG60" s="197"/>
      <c r="GH60" s="166">
        <f t="shared" si="12"/>
      </c>
      <c r="GI60" s="593">
        <f t="shared" si="122"/>
        <v>0.0132</v>
      </c>
      <c r="GJ60" s="594">
        <f t="shared" si="123"/>
        <v>0.00308</v>
      </c>
      <c r="GK60" s="594" t="str">
        <f t="shared" si="124"/>
        <v>n/a</v>
      </c>
      <c r="GL60" s="165">
        <f t="shared" si="125"/>
        <v>0.00066</v>
      </c>
      <c r="GM60" s="165">
        <f t="shared" si="126"/>
        <v>0.000154</v>
      </c>
      <c r="GN60" s="165" t="str">
        <f t="shared" si="127"/>
        <v>n/a</v>
      </c>
      <c r="GO60" s="167">
        <f t="shared" si="128"/>
        <v>0.000814</v>
      </c>
      <c r="GP60" s="165">
        <f t="shared" si="129"/>
        <v>0.00066</v>
      </c>
      <c r="GQ60" s="165">
        <f t="shared" si="151"/>
        <v>0.000154</v>
      </c>
      <c r="GR60" s="165" t="str">
        <f t="shared" si="130"/>
        <v>n/a</v>
      </c>
      <c r="GS60" s="170">
        <f t="shared" si="131"/>
        <v>0.000814</v>
      </c>
      <c r="GT60" s="139"/>
      <c r="GU60" s="139"/>
      <c r="GV60" s="139"/>
      <c r="GW60" s="139"/>
      <c r="GX60" s="139"/>
      <c r="GY60" s="139"/>
      <c r="GZ60" s="139"/>
      <c r="HA60" s="139"/>
      <c r="HB60" s="139"/>
      <c r="HC60" s="139"/>
      <c r="HD60" s="139"/>
      <c r="HE60" s="139"/>
      <c r="HF60" s="139"/>
      <c r="HG60" s="139"/>
      <c r="HH60" s="139"/>
      <c r="HI60" s="139"/>
      <c r="HJ60" s="139"/>
      <c r="HK60" s="139"/>
      <c r="HL60" s="139"/>
      <c r="HM60" s="139"/>
      <c r="HN60" s="139"/>
      <c r="HO60" s="139"/>
      <c r="HP60" s="139"/>
      <c r="HQ60" s="139"/>
      <c r="HR60" s="139"/>
      <c r="HS60" s="139"/>
      <c r="HT60" s="139"/>
      <c r="HU60" s="139"/>
      <c r="HV60" s="139"/>
      <c r="HW60" s="139"/>
      <c r="HX60" s="139"/>
      <c r="HY60" s="139"/>
      <c r="HZ60" s="139"/>
      <c r="IA60" s="139"/>
      <c r="IB60" s="139"/>
      <c r="IC60" s="139"/>
      <c r="ID60" s="139"/>
      <c r="IE60" s="139"/>
      <c r="IF60" s="139"/>
      <c r="IG60" s="139"/>
      <c r="IH60" s="139"/>
      <c r="II60" s="139"/>
      <c r="IJ60" s="139"/>
      <c r="IK60" s="139"/>
      <c r="IL60" s="139"/>
      <c r="IM60" s="139"/>
      <c r="IN60" s="139"/>
    </row>
    <row r="61" spans="1:201" s="139" customFormat="1" ht="105">
      <c r="A61" s="144"/>
      <c r="B61" s="241"/>
      <c r="C61" s="207" t="s">
        <v>387</v>
      </c>
      <c r="D61" s="258" t="s">
        <v>514</v>
      </c>
      <c r="E61" s="203"/>
      <c r="F61" s="179">
        <v>0.2</v>
      </c>
      <c r="G61" s="128"/>
      <c r="H61" s="128"/>
      <c r="I61" s="128" t="s">
        <v>388</v>
      </c>
      <c r="J61" s="121" t="s">
        <v>139</v>
      </c>
      <c r="K61" s="121">
        <v>1</v>
      </c>
      <c r="L61" s="121"/>
      <c r="M61" s="121"/>
      <c r="N61" s="121">
        <v>12</v>
      </c>
      <c r="O61" s="121">
        <v>20</v>
      </c>
      <c r="P61" s="176">
        <v>1</v>
      </c>
      <c r="Q61" s="151" t="str">
        <f t="shared" si="14"/>
        <v>n/a</v>
      </c>
      <c r="R61" s="132" t="str">
        <f t="shared" si="15"/>
        <v>n/a</v>
      </c>
      <c r="S61" s="143">
        <f t="shared" si="16"/>
        <v>2.7400000000000007</v>
      </c>
      <c r="T61" s="143">
        <f t="shared" si="17"/>
        <v>120.00000000000003</v>
      </c>
      <c r="U61" s="143">
        <f t="shared" si="18"/>
        <v>120.00000000000003</v>
      </c>
      <c r="V61" s="152">
        <f t="shared" si="19"/>
        <v>2.7400000000000007</v>
      </c>
      <c r="W61" s="153" t="str">
        <f t="shared" si="20"/>
        <v>n/a</v>
      </c>
      <c r="X61" s="154" t="str">
        <f t="shared" si="21"/>
        <v>n/a</v>
      </c>
      <c r="Y61" s="154" t="str">
        <f t="shared" si="22"/>
        <v>n/a</v>
      </c>
      <c r="Z61" s="154">
        <f t="shared" si="23"/>
        <v>1.7142857142857146</v>
      </c>
      <c r="AA61" s="155">
        <f t="shared" si="24"/>
        <v>1.7142857142857146</v>
      </c>
      <c r="AB61" s="93">
        <v>0.2</v>
      </c>
      <c r="AC61" s="87" t="s">
        <v>340</v>
      </c>
      <c r="AD61" s="610">
        <v>1</v>
      </c>
      <c r="AE61" s="130" t="s">
        <v>646</v>
      </c>
      <c r="AF61" s="575"/>
      <c r="AG61" s="118" t="s">
        <v>345</v>
      </c>
      <c r="AH61" s="81"/>
      <c r="AI61" s="81"/>
      <c r="AJ61" s="97"/>
      <c r="AK61" s="97"/>
      <c r="AL61" s="118"/>
      <c r="AM61" s="87"/>
      <c r="AN61" s="120"/>
      <c r="AO61" s="91">
        <v>12</v>
      </c>
      <c r="AP61" s="91" t="s">
        <v>346</v>
      </c>
      <c r="AQ61" s="87"/>
      <c r="AR61" s="91"/>
      <c r="AS61" s="259" t="s">
        <v>496</v>
      </c>
      <c r="AT61" s="120">
        <f t="shared" si="25"/>
        <v>0.6</v>
      </c>
      <c r="AU61" s="131" t="str">
        <f>IF(AND(AS61="outdoor",AT61=0.6),"est. conservative value for outdoor","RIVM  general fact sheet")</f>
        <v>RIVM  general fact sheet</v>
      </c>
      <c r="AV61" s="131">
        <f t="shared" si="140"/>
        <v>0.751980606509956</v>
      </c>
      <c r="AW61" s="156">
        <f>IF(OR(AS61="indoor, typical",AS61="indoor, ventilation",AS61="indoor, active ventilation"),20,IF(AS61="garage",34,IF(AS61="outdoor",100,"")))</f>
        <v>20</v>
      </c>
      <c r="AX61" s="156" t="str">
        <f>IF(AW61=20,"TRA default",IF(AW61=34,"RIVM general fact sheet",IF(AW61=100,"Stoffenmanager volume used for outdoors","")))</f>
        <v>TRA default</v>
      </c>
      <c r="AY61" s="118">
        <v>1</v>
      </c>
      <c r="AZ61" s="141" t="s">
        <v>347</v>
      </c>
      <c r="BA61" s="125" t="str">
        <f t="shared" si="141"/>
        <v>n/a</v>
      </c>
      <c r="BB61" s="125" t="str">
        <f t="shared" si="142"/>
        <v>n/a</v>
      </c>
      <c r="BC61" s="120" t="str">
        <f t="shared" si="143"/>
        <v>n/a</v>
      </c>
      <c r="BD61" s="120" t="str">
        <f t="shared" si="144"/>
        <v>n/a</v>
      </c>
      <c r="BE61" s="120" t="str">
        <f t="shared" si="145"/>
        <v>n/a</v>
      </c>
      <c r="BF61" s="120">
        <f t="shared" si="146"/>
        <v>2.06042686183728</v>
      </c>
      <c r="BG61" s="120">
        <f t="shared" si="28"/>
        <v>90.23767278119473</v>
      </c>
      <c r="BH61" s="120">
        <f t="shared" si="29"/>
      </c>
      <c r="BI61" s="120">
        <f t="shared" si="147"/>
        <v>3.7599030325497806</v>
      </c>
      <c r="BJ61" s="158">
        <f t="shared" si="30"/>
        <v>3.7599030325497806</v>
      </c>
      <c r="BK61" s="159">
        <f t="shared" si="31"/>
        <v>2.06042686183728</v>
      </c>
      <c r="BL61" s="160" t="str">
        <f t="shared" si="32"/>
        <v>n/a</v>
      </c>
      <c r="BM61" s="161" t="str">
        <f t="shared" si="33"/>
        <v>n/a</v>
      </c>
      <c r="BN61" s="161" t="str">
        <f t="shared" si="34"/>
        <v>n/a</v>
      </c>
      <c r="BO61" s="162" t="str">
        <f t="shared" si="35"/>
        <v>n/a</v>
      </c>
      <c r="BP61" s="161">
        <f t="shared" si="36"/>
        <v>0.05371290046499687</v>
      </c>
      <c r="BQ61" s="162">
        <f t="shared" si="37"/>
        <v>0.05371290046499687</v>
      </c>
      <c r="BR61" s="161" t="str">
        <f t="shared" si="38"/>
        <v>n/a</v>
      </c>
      <c r="BS61" s="161" t="str">
        <f t="shared" si="39"/>
        <v>n/a</v>
      </c>
      <c r="BT61" s="161">
        <f t="shared" si="40"/>
        <v>0.05371290046499687</v>
      </c>
      <c r="BU61" s="161">
        <f t="shared" si="41"/>
        <v>0.05371290046499687</v>
      </c>
      <c r="BV61" s="163" t="str">
        <f t="shared" si="42"/>
        <v>Unless otherwise stated, covers concentrations up to 20% [ConsOC1]; covers use up to 364 days/year[ConsOC3]; covers use up to 1 time/on day of use[ConsOC4]; for each use event, covers use amounts up to 12g [ConsOC2]; covers use under typical household ventilation [ConsOC8]; covers use in room size of 20m3[ConsOC11]; for each use event, covers exposure up to 1,00hr/event[ConsOC14]; </v>
      </c>
      <c r="BW61" s="126" t="str">
        <f t="shared" si="43"/>
        <v>No specific RMMs identified beyond those OCs stated</v>
      </c>
      <c r="BX61" s="125" t="str">
        <f t="shared" si="44"/>
        <v>Based upon daily use</v>
      </c>
      <c r="BY61" s="120" t="str">
        <f t="shared" si="45"/>
        <v>n/a</v>
      </c>
      <c r="BZ61" s="120" t="str">
        <f t="shared" si="46"/>
        <v>n/a</v>
      </c>
      <c r="CA61" s="120">
        <f t="shared" si="47"/>
        <v>0.05371290046499687</v>
      </c>
      <c r="CB61" s="164">
        <f t="shared" si="48"/>
        <v>0.05371290046499687</v>
      </c>
      <c r="CC61" s="120" t="str">
        <f t="shared" si="49"/>
        <v>n/a</v>
      </c>
      <c r="CD61" s="120" t="str">
        <f t="shared" si="50"/>
        <v>n/a</v>
      </c>
      <c r="CE61" s="159">
        <f t="shared" si="51"/>
        <v>3.7599030325497806</v>
      </c>
      <c r="CF61" s="138"/>
      <c r="CG61" s="260" t="str">
        <f t="shared" si="135"/>
        <v>PC38_n: Welding and soldering products, flux products</v>
      </c>
      <c r="CH61" s="258">
        <f>E61</f>
        <v>0</v>
      </c>
      <c r="CI61" s="120" t="str">
        <f t="shared" si="52"/>
        <v>n/a</v>
      </c>
      <c r="CJ61" s="120" t="str">
        <f t="shared" si="53"/>
        <v>n/a</v>
      </c>
      <c r="CK61" s="120">
        <f t="shared" si="54"/>
        <v>3.7599030325497806</v>
      </c>
      <c r="CL61" s="124"/>
      <c r="CM61" s="165" t="str">
        <f t="shared" si="55"/>
        <v>n/a</v>
      </c>
      <c r="CN61" s="165" t="str">
        <f t="shared" si="56"/>
        <v>n/a</v>
      </c>
      <c r="CO61" s="165">
        <f t="shared" si="57"/>
        <v>7.519806065099561</v>
      </c>
      <c r="CP61" s="598">
        <f>IF(SUM(CM61:CO61)&lt;$BZ$4,"",adjustparameter($AB61,0.01,SUM(CM61,CN61,CO61)/$AB61,$BZ$4))</f>
        <v>0.023936787523737398</v>
      </c>
      <c r="CQ61" s="166">
        <f t="shared" si="58"/>
        <v>0.880316062381313</v>
      </c>
      <c r="CR61" s="599">
        <f>IF($CK61="n/a","",IF(SUM(CM61:CO61)&lt;$BZ$4,"",adjustparameter($AO61,0.5*$AO61,SUM(SUM(CO61)*CP61/$AB61/$AO61),($BZ$4-SUM(CM61:CN61)*CP61/$AB61))))</f>
      </c>
      <c r="CS61" s="166">
        <f t="shared" si="59"/>
      </c>
      <c r="CT61" s="165"/>
      <c r="CU61" s="166">
        <f t="shared" si="60"/>
      </c>
      <c r="CV61" s="124"/>
      <c r="CW61" s="166">
        <f t="shared" si="61"/>
      </c>
      <c r="CX61" s="595">
        <f t="shared" si="62"/>
      </c>
      <c r="CY61" s="165">
        <f>IF(CX61="","",VLOOKUP(CX61,Picklist!$C$2:$E$5,3))</f>
      </c>
      <c r="CZ61" s="594">
        <f t="shared" si="63"/>
      </c>
      <c r="DA61" s="165"/>
      <c r="DB61" s="166">
        <f t="shared" si="64"/>
      </c>
      <c r="DC61" s="165" t="str">
        <f t="shared" si="65"/>
        <v>n/a</v>
      </c>
      <c r="DD61" s="165" t="str">
        <f t="shared" si="66"/>
        <v>n/a</v>
      </c>
      <c r="DE61" s="165">
        <f t="shared" si="67"/>
        <v>0.45000000000000007</v>
      </c>
      <c r="DF61" s="165" t="str">
        <f t="shared" si="68"/>
        <v>n/a</v>
      </c>
      <c r="DG61" s="165" t="str">
        <f t="shared" si="69"/>
        <v>n/a</v>
      </c>
      <c r="DH61" s="165">
        <f t="shared" si="70"/>
        <v>0.006428571428571429</v>
      </c>
      <c r="DI61" s="167">
        <f t="shared" si="71"/>
        <v>0.006428571428571429</v>
      </c>
      <c r="DJ61" s="165" t="str">
        <f t="shared" si="72"/>
        <v>n/a</v>
      </c>
      <c r="DK61" s="165" t="str">
        <f t="shared" si="148"/>
        <v>n/a</v>
      </c>
      <c r="DL61" s="165">
        <f t="shared" si="73"/>
        <v>0.8999999999999999</v>
      </c>
      <c r="DM61" s="168">
        <f t="shared" si="74"/>
        <v>0.8999999999999999</v>
      </c>
      <c r="DN61" s="185"/>
      <c r="DO61" s="165" t="str">
        <f t="shared" si="75"/>
        <v>n/a</v>
      </c>
      <c r="DP61" s="165" t="str">
        <f t="shared" si="76"/>
        <v>n/a</v>
      </c>
      <c r="DQ61" s="165">
        <f t="shared" si="77"/>
        <v>0.7519806065099561</v>
      </c>
      <c r="DR61" s="598">
        <f>IF(SUM(DO61:DQ61)&lt;$BZ$4,"",adjustparameter($AB61,0.01,SUM(DO61,DP61,DQ61)/$AB61,$BZ$4))</f>
      </c>
      <c r="DS61" s="166">
        <f t="shared" si="78"/>
      </c>
      <c r="DT61" s="597">
        <f>IF($CK61="n/a","",IF(SUM(DO61:DQ61)&lt;$BZ$4,"",adjustparameter($AO61,0.5*$AO61,SUM(SUM(DQ61)*DR61/$AB61/$AO61),($BZ$4-SUM(DO61:DP61)*DR61/$AB61))))</f>
      </c>
      <c r="DU61" s="166">
        <f t="shared" si="8"/>
      </c>
      <c r="DV61" s="165"/>
      <c r="DW61" s="166">
        <f t="shared" si="79"/>
      </c>
      <c r="DX61" s="165"/>
      <c r="DY61" s="166">
        <f t="shared" si="80"/>
      </c>
      <c r="DZ61" s="595">
        <f t="shared" si="81"/>
      </c>
      <c r="EA61" s="165">
        <f>IF(DZ61="","",VLOOKUP(DZ61,Picklist!$C$2:$E$5,3))</f>
      </c>
      <c r="EB61" s="594">
        <f t="shared" si="82"/>
      </c>
      <c r="EC61" s="165"/>
      <c r="ED61" s="166">
        <f t="shared" si="83"/>
      </c>
      <c r="EE61" s="593" t="str">
        <f t="shared" si="84"/>
        <v>n/a</v>
      </c>
      <c r="EF61" s="594" t="str">
        <f t="shared" si="85"/>
        <v>n/a</v>
      </c>
      <c r="EG61" s="594">
        <f t="shared" si="86"/>
        <v>3.7599030325497806</v>
      </c>
      <c r="EH61" s="165" t="str">
        <f t="shared" si="87"/>
        <v>n/a</v>
      </c>
      <c r="EI61" s="165" t="str">
        <f t="shared" si="88"/>
        <v>n/a</v>
      </c>
      <c r="EJ61" s="165">
        <f t="shared" si="89"/>
        <v>0.05371290046499687</v>
      </c>
      <c r="EK61" s="167">
        <f t="shared" si="90"/>
        <v>0.05371290046499687</v>
      </c>
      <c r="EL61" s="165" t="str">
        <f t="shared" si="91"/>
        <v>n/a</v>
      </c>
      <c r="EM61" s="165" t="str">
        <f t="shared" si="149"/>
        <v>n/a</v>
      </c>
      <c r="EN61" s="165">
        <f t="shared" si="92"/>
        <v>0.7519806065099561</v>
      </c>
      <c r="EO61" s="168">
        <f t="shared" si="93"/>
        <v>0.7519806065099561</v>
      </c>
      <c r="EP61" s="185"/>
      <c r="EQ61" s="165" t="str">
        <f t="shared" si="94"/>
        <v>n/a</v>
      </c>
      <c r="ER61" s="165" t="str">
        <f t="shared" si="95"/>
        <v>n/a</v>
      </c>
      <c r="ES61" s="165">
        <f t="shared" si="96"/>
        <v>0.15039612130199123</v>
      </c>
      <c r="ET61" s="596">
        <f>IF(SUM(EQ61:ES61)&lt;$BZ$4,"",adjustparameter($AB61,0.01,SUM(EQ61,ER61,ES61)/$AB61,$BZ$4))</f>
      </c>
      <c r="EU61" s="166">
        <f t="shared" si="97"/>
      </c>
      <c r="EV61" s="597">
        <f>IF($CK61="n/a","",IF(SUM(EQ61:ES61)&lt;$BZ$4,"",adjustparameter($AO61,0.5*$AO61,SUM(SUM(ES61)*ET61/$AB61/$AO61),($BZ$4-SUM(EQ61:ER61)*ET61/$AB61))))</f>
      </c>
      <c r="EW61" s="166">
        <f t="shared" si="98"/>
      </c>
      <c r="EX61" s="165"/>
      <c r="EY61" s="166">
        <f t="shared" si="99"/>
      </c>
      <c r="EZ61" s="165"/>
      <c r="FA61" s="166">
        <f t="shared" si="100"/>
      </c>
      <c r="FB61" s="595">
        <f t="shared" si="101"/>
      </c>
      <c r="FC61" s="165">
        <f>IF(FB61="","",VLOOKUP(FB61,Picklist!$C$2:$E$5,3))</f>
      </c>
      <c r="FD61" s="594">
        <f t="shared" si="102"/>
      </c>
      <c r="FE61" s="165"/>
      <c r="FF61" s="166">
        <f t="shared" si="10"/>
      </c>
      <c r="FG61" s="593" t="str">
        <f t="shared" si="103"/>
        <v>n/a</v>
      </c>
      <c r="FH61" s="594" t="str">
        <f t="shared" si="104"/>
        <v>n/a</v>
      </c>
      <c r="FI61" s="594">
        <f t="shared" si="105"/>
        <v>3.7599030325497806</v>
      </c>
      <c r="FJ61" s="165" t="str">
        <f t="shared" si="106"/>
        <v>n/a</v>
      </c>
      <c r="FK61" s="165" t="str">
        <f t="shared" si="107"/>
        <v>n/a</v>
      </c>
      <c r="FL61" s="165">
        <f t="shared" si="108"/>
        <v>0.05371290046499687</v>
      </c>
      <c r="FM61" s="167">
        <f t="shared" si="109"/>
        <v>0.05371290046499687</v>
      </c>
      <c r="FN61" s="165" t="str">
        <f t="shared" si="110"/>
        <v>n/a</v>
      </c>
      <c r="FO61" s="165" t="str">
        <f t="shared" si="150"/>
        <v>n/a</v>
      </c>
      <c r="FP61" s="165">
        <f t="shared" si="111"/>
        <v>0.15039612130199123</v>
      </c>
      <c r="FQ61" s="168">
        <f t="shared" si="112"/>
        <v>0.15039612130199123</v>
      </c>
      <c r="FR61" s="185"/>
      <c r="FS61" s="165" t="str">
        <f t="shared" si="113"/>
        <v>n/a</v>
      </c>
      <c r="FT61" s="165" t="str">
        <f t="shared" si="114"/>
        <v>n/a</v>
      </c>
      <c r="FU61" s="165">
        <f t="shared" si="115"/>
        <v>0.03759903032549781</v>
      </c>
      <c r="FV61" s="596">
        <f>IF(SUM(FS61:FU61)&lt;$BZ$4,"",adjustparameter($AB61,0.01,SUM(FS61,FT61,FU61)/$AB61,$BZ$4))</f>
      </c>
      <c r="FW61" s="166">
        <f t="shared" si="116"/>
      </c>
      <c r="FX61" s="597">
        <f>IF($CK61="n/a","",IF(SUM(FS61:FU61)&lt;$BZ$4,"",adjustparameter($AO61,0.5*$AO61,SUM(SUM(FU61)*FV61/$AB61/$AO61),($BZ$4-SUM(FS61:FT61)*FV61/$AB61))))</f>
      </c>
      <c r="FY61" s="166">
        <f t="shared" si="117"/>
      </c>
      <c r="FZ61" s="165"/>
      <c r="GA61" s="166">
        <f t="shared" si="118"/>
      </c>
      <c r="GB61" s="165"/>
      <c r="GC61" s="166">
        <f t="shared" si="119"/>
      </c>
      <c r="GD61" s="595">
        <f t="shared" si="120"/>
      </c>
      <c r="GE61" s="165">
        <f>IF(GD61="","",VLOOKUP(GD61,Picklist!$C$2:$E$5,3))</f>
      </c>
      <c r="GF61" s="594">
        <f t="shared" si="121"/>
      </c>
      <c r="GG61" s="165"/>
      <c r="GH61" s="166">
        <f t="shared" si="12"/>
      </c>
      <c r="GI61" s="593" t="str">
        <f t="shared" si="122"/>
        <v>n/a</v>
      </c>
      <c r="GJ61" s="594" t="str">
        <f t="shared" si="123"/>
        <v>n/a</v>
      </c>
      <c r="GK61" s="594">
        <f t="shared" si="124"/>
        <v>3.7599030325497806</v>
      </c>
      <c r="GL61" s="165" t="str">
        <f t="shared" si="125"/>
        <v>n/a</v>
      </c>
      <c r="GM61" s="165" t="str">
        <f t="shared" si="126"/>
        <v>n/a</v>
      </c>
      <c r="GN61" s="165">
        <f t="shared" si="127"/>
        <v>0.05371290046499687</v>
      </c>
      <c r="GO61" s="167">
        <f t="shared" si="128"/>
        <v>0.05371290046499687</v>
      </c>
      <c r="GP61" s="165" t="str">
        <f t="shared" si="129"/>
        <v>n/a</v>
      </c>
      <c r="GQ61" s="165" t="str">
        <f t="shared" si="151"/>
        <v>n/a</v>
      </c>
      <c r="GR61" s="165">
        <f t="shared" si="130"/>
        <v>0.03759903032549781</v>
      </c>
      <c r="GS61" s="170">
        <f t="shared" si="131"/>
        <v>0.03759903032549781</v>
      </c>
    </row>
    <row r="62" spans="1:248" s="545" customFormat="1" ht="15" customHeight="1" thickBot="1">
      <c r="A62" s="350"/>
      <c r="B62" s="539"/>
      <c r="C62" s="540"/>
      <c r="D62" s="541"/>
      <c r="E62" s="541"/>
      <c r="F62" s="541"/>
      <c r="G62" s="541"/>
      <c r="H62" s="541"/>
      <c r="I62" s="541"/>
      <c r="J62" s="541"/>
      <c r="K62" s="541"/>
      <c r="L62" s="541"/>
      <c r="M62" s="541"/>
      <c r="N62" s="542"/>
      <c r="O62" s="542"/>
      <c r="P62" s="542"/>
      <c r="Q62" s="542"/>
      <c r="R62" s="542"/>
      <c r="S62" s="542"/>
      <c r="T62" s="542"/>
      <c r="U62" s="542"/>
      <c r="V62" s="542"/>
      <c r="W62" s="542"/>
      <c r="X62" s="542"/>
      <c r="Y62" s="542"/>
      <c r="Z62" s="542"/>
      <c r="AA62" s="542"/>
      <c r="AB62" s="542"/>
      <c r="AC62" s="542"/>
      <c r="AD62" s="542"/>
      <c r="AE62" s="542"/>
      <c r="AF62" s="542"/>
      <c r="AG62" s="542"/>
      <c r="AH62" s="542"/>
      <c r="AI62" s="542"/>
      <c r="AJ62" s="542"/>
      <c r="AK62" s="542"/>
      <c r="AL62" s="542"/>
      <c r="AM62" s="542"/>
      <c r="AN62" s="542"/>
      <c r="AO62" s="542"/>
      <c r="AP62" s="542"/>
      <c r="AQ62" s="543"/>
      <c r="AR62" s="542"/>
      <c r="AS62" s="542"/>
      <c r="AT62" s="542"/>
      <c r="AU62" s="542"/>
      <c r="AV62" s="542"/>
      <c r="AW62" s="542"/>
      <c r="AX62" s="542"/>
      <c r="AY62" s="542"/>
      <c r="AZ62" s="542"/>
      <c r="BA62" s="542"/>
      <c r="BB62" s="542"/>
      <c r="BC62" s="542"/>
      <c r="BD62" s="542"/>
      <c r="BE62" s="542"/>
      <c r="BF62" s="542"/>
      <c r="BG62" s="542"/>
      <c r="BH62" s="542"/>
      <c r="BI62" s="542"/>
      <c r="BJ62" s="542"/>
      <c r="BK62" s="542"/>
      <c r="BL62" s="542"/>
      <c r="BM62" s="542"/>
      <c r="BN62" s="542"/>
      <c r="BO62" s="542"/>
      <c r="BP62" s="542"/>
      <c r="BQ62" s="542"/>
      <c r="BR62" s="542"/>
      <c r="BS62" s="542"/>
      <c r="BT62" s="542"/>
      <c r="BU62" s="542"/>
      <c r="BV62" s="542"/>
      <c r="BW62" s="542"/>
      <c r="BX62" s="542"/>
      <c r="BY62" s="542"/>
      <c r="BZ62" s="542"/>
      <c r="CA62" s="542"/>
      <c r="CB62" s="542"/>
      <c r="CC62" s="542"/>
      <c r="CD62" s="542"/>
      <c r="CE62" s="542"/>
      <c r="CF62" s="418"/>
      <c r="CG62" s="539"/>
      <c r="CH62" s="542"/>
      <c r="CI62" s="543"/>
      <c r="CJ62" s="543"/>
      <c r="CK62" s="543"/>
      <c r="CL62" s="542"/>
      <c r="CM62" s="543"/>
      <c r="CN62" s="543"/>
      <c r="CO62" s="543"/>
      <c r="CP62" s="542"/>
      <c r="CQ62" s="542"/>
      <c r="CR62" s="542"/>
      <c r="CS62" s="542"/>
      <c r="CT62" s="542"/>
      <c r="CU62" s="542"/>
      <c r="CV62" s="542"/>
      <c r="CW62" s="542"/>
      <c r="CX62" s="542"/>
      <c r="CY62" s="542"/>
      <c r="CZ62" s="542"/>
      <c r="DA62" s="542"/>
      <c r="DB62" s="542"/>
      <c r="DC62" s="542"/>
      <c r="DD62" s="542"/>
      <c r="DE62" s="542"/>
      <c r="DF62" s="542"/>
      <c r="DG62" s="542"/>
      <c r="DH62" s="542"/>
      <c r="DI62" s="542"/>
      <c r="DJ62" s="542"/>
      <c r="DK62" s="542"/>
      <c r="DL62" s="542"/>
      <c r="DM62" s="542"/>
      <c r="DN62" s="542"/>
      <c r="DO62" s="542"/>
      <c r="DP62" s="542"/>
      <c r="DQ62" s="542"/>
      <c r="DR62" s="542"/>
      <c r="DS62" s="542"/>
      <c r="DT62" s="542"/>
      <c r="DU62" s="542"/>
      <c r="DV62" s="542"/>
      <c r="DW62" s="542"/>
      <c r="DX62" s="542"/>
      <c r="DY62" s="542"/>
      <c r="DZ62" s="542"/>
      <c r="EA62" s="542"/>
      <c r="EB62" s="542"/>
      <c r="EC62" s="542"/>
      <c r="ED62" s="542"/>
      <c r="EE62" s="542"/>
      <c r="EF62" s="542"/>
      <c r="EG62" s="542"/>
      <c r="EH62" s="542"/>
      <c r="EI62" s="542"/>
      <c r="EJ62" s="542"/>
      <c r="EK62" s="542"/>
      <c r="EL62" s="542"/>
      <c r="EM62" s="542"/>
      <c r="EN62" s="542"/>
      <c r="EO62" s="542"/>
      <c r="EP62" s="542"/>
      <c r="EQ62" s="542"/>
      <c r="ER62" s="542"/>
      <c r="ES62" s="542"/>
      <c r="ET62" s="542"/>
      <c r="EU62" s="542"/>
      <c r="EV62" s="542"/>
      <c r="EW62" s="542"/>
      <c r="EX62" s="542"/>
      <c r="EY62" s="542"/>
      <c r="EZ62" s="542"/>
      <c r="FA62" s="542"/>
      <c r="FB62" s="542"/>
      <c r="FC62" s="542"/>
      <c r="FD62" s="542"/>
      <c r="FE62" s="542"/>
      <c r="FF62" s="542"/>
      <c r="FG62" s="542"/>
      <c r="FH62" s="542"/>
      <c r="FI62" s="542"/>
      <c r="FJ62" s="542"/>
      <c r="FK62" s="542"/>
      <c r="FL62" s="542"/>
      <c r="FM62" s="542"/>
      <c r="FN62" s="542"/>
      <c r="FO62" s="542"/>
      <c r="FP62" s="542"/>
      <c r="FQ62" s="542"/>
      <c r="FR62" s="542"/>
      <c r="FS62" s="542"/>
      <c r="FT62" s="542"/>
      <c r="FU62" s="542"/>
      <c r="FV62" s="542"/>
      <c r="FW62" s="542"/>
      <c r="FX62" s="542"/>
      <c r="FY62" s="542"/>
      <c r="FZ62" s="542"/>
      <c r="GA62" s="542"/>
      <c r="GB62" s="542"/>
      <c r="GC62" s="542"/>
      <c r="GD62" s="542"/>
      <c r="GE62" s="542"/>
      <c r="GF62" s="542"/>
      <c r="GG62" s="542"/>
      <c r="GH62" s="542"/>
      <c r="GI62" s="542"/>
      <c r="GJ62" s="542"/>
      <c r="GK62" s="542"/>
      <c r="GL62" s="542"/>
      <c r="GM62" s="542"/>
      <c r="GN62" s="542"/>
      <c r="GO62" s="542"/>
      <c r="GP62" s="542"/>
      <c r="GQ62" s="542"/>
      <c r="GR62" s="542"/>
      <c r="GS62" s="544"/>
      <c r="GT62" s="350"/>
      <c r="GU62" s="350"/>
      <c r="GV62" s="350"/>
      <c r="GW62" s="350"/>
      <c r="GX62" s="350"/>
      <c r="GY62" s="350"/>
      <c r="GZ62" s="350"/>
      <c r="HA62" s="350"/>
      <c r="HB62" s="350"/>
      <c r="HC62" s="350"/>
      <c r="HD62" s="350"/>
      <c r="HE62" s="350"/>
      <c r="HF62" s="350"/>
      <c r="HG62" s="350"/>
      <c r="HH62" s="350"/>
      <c r="HI62" s="350"/>
      <c r="HJ62" s="350"/>
      <c r="HK62" s="350"/>
      <c r="HL62" s="350"/>
      <c r="HM62" s="350"/>
      <c r="HN62" s="350"/>
      <c r="HO62" s="350"/>
      <c r="HP62" s="350"/>
      <c r="HQ62" s="350"/>
      <c r="HR62" s="350"/>
      <c r="HS62" s="350"/>
      <c r="HT62" s="350"/>
      <c r="HU62" s="350"/>
      <c r="HV62" s="350"/>
      <c r="HW62" s="350"/>
      <c r="HX62" s="350"/>
      <c r="HY62" s="350"/>
      <c r="HZ62" s="350"/>
      <c r="IA62" s="350"/>
      <c r="IB62" s="350"/>
      <c r="IC62" s="350"/>
      <c r="ID62" s="350"/>
      <c r="IE62" s="350"/>
      <c r="IF62" s="350"/>
      <c r="IG62" s="350"/>
      <c r="IH62" s="350"/>
      <c r="II62" s="350"/>
      <c r="IJ62" s="350"/>
      <c r="IK62" s="350"/>
      <c r="IL62" s="350"/>
      <c r="IM62" s="350"/>
      <c r="IN62" s="350"/>
    </row>
    <row r="63" spans="1:248" ht="13.5">
      <c r="A63" s="546"/>
      <c r="B63" s="139"/>
      <c r="C63" s="139"/>
      <c r="D63" s="547"/>
      <c r="E63" s="547"/>
      <c r="F63" s="547"/>
      <c r="G63" s="547"/>
      <c r="H63" s="547"/>
      <c r="I63" s="547"/>
      <c r="J63" s="547"/>
      <c r="K63" s="547"/>
      <c r="L63" s="547"/>
      <c r="M63" s="547"/>
      <c r="N63" s="548"/>
      <c r="O63" s="548"/>
      <c r="P63" s="548"/>
      <c r="Q63" s="548"/>
      <c r="R63" s="548"/>
      <c r="S63" s="548"/>
      <c r="T63" s="548"/>
      <c r="U63" s="548"/>
      <c r="V63" s="548"/>
      <c r="W63" s="547"/>
      <c r="X63" s="547"/>
      <c r="Y63" s="547"/>
      <c r="Z63" s="547"/>
      <c r="AA63" s="547"/>
      <c r="AB63" s="548"/>
      <c r="AC63" s="548"/>
      <c r="AD63" s="547"/>
      <c r="AE63" s="547"/>
      <c r="AF63" s="547"/>
      <c r="AG63" s="547"/>
      <c r="AH63" s="547"/>
      <c r="AI63" s="547"/>
      <c r="AJ63" s="547"/>
      <c r="AK63" s="547"/>
      <c r="AL63" s="547"/>
      <c r="AM63" s="547"/>
      <c r="AN63" s="547"/>
      <c r="AO63" s="547"/>
      <c r="AP63" s="547"/>
      <c r="AQ63" s="549"/>
      <c r="AR63" s="547"/>
      <c r="AS63" s="547"/>
      <c r="AT63" s="139"/>
      <c r="AU63" s="139"/>
      <c r="AV63" s="139"/>
      <c r="AW63" s="139"/>
      <c r="AX63" s="139"/>
      <c r="AY63" s="547"/>
      <c r="AZ63" s="547"/>
      <c r="BA63" s="548"/>
      <c r="BB63" s="548"/>
      <c r="BC63" s="548"/>
      <c r="BD63" s="548"/>
      <c r="BE63" s="548"/>
      <c r="BF63" s="550"/>
      <c r="BG63" s="550"/>
      <c r="BH63" s="550"/>
      <c r="BI63" s="550"/>
      <c r="BJ63" s="550"/>
      <c r="BK63" s="548"/>
      <c r="BL63" s="548"/>
      <c r="BM63" s="548"/>
      <c r="BN63" s="551"/>
      <c r="BO63" s="551"/>
      <c r="BP63" s="551"/>
      <c r="BQ63" s="551"/>
      <c r="BR63" s="551"/>
      <c r="BS63" s="551"/>
      <c r="BT63" s="551"/>
      <c r="BU63" s="551"/>
      <c r="BV63" s="551"/>
      <c r="BW63" s="349"/>
      <c r="BX63" s="349"/>
      <c r="BY63" s="349"/>
      <c r="BZ63" s="349"/>
      <c r="CA63" s="349"/>
      <c r="CB63" s="349"/>
      <c r="CC63" s="349"/>
      <c r="CD63" s="349"/>
      <c r="CE63" s="349"/>
      <c r="CF63" s="545"/>
      <c r="CG63" s="139"/>
      <c r="CH63" s="139"/>
      <c r="CI63" s="139"/>
      <c r="CJ63" s="139"/>
      <c r="CK63" s="139"/>
      <c r="CL63" s="139"/>
      <c r="CM63" s="139"/>
      <c r="CN63" s="139"/>
      <c r="CO63" s="139"/>
      <c r="CP63" s="139"/>
      <c r="CQ63" s="139"/>
      <c r="CR63" s="139"/>
      <c r="CS63" s="139"/>
      <c r="CT63" s="139"/>
      <c r="CU63" s="139"/>
      <c r="CV63" s="139"/>
      <c r="CW63" s="139"/>
      <c r="CX63" s="139"/>
      <c r="CY63" s="139"/>
      <c r="CZ63" s="139"/>
      <c r="DA63" s="139"/>
      <c r="DB63" s="139"/>
      <c r="DC63" s="139"/>
      <c r="DD63" s="139"/>
      <c r="DE63" s="139"/>
      <c r="DF63" s="139"/>
      <c r="DG63" s="139"/>
      <c r="DH63" s="139"/>
      <c r="DI63" s="139"/>
      <c r="DJ63" s="139"/>
      <c r="DK63" s="139"/>
      <c r="DL63" s="139"/>
      <c r="DM63" s="139"/>
      <c r="DN63" s="139"/>
      <c r="DO63" s="139"/>
      <c r="DP63" s="139"/>
      <c r="DQ63" s="139"/>
      <c r="DR63" s="139"/>
      <c r="DS63" s="139"/>
      <c r="DT63" s="139"/>
      <c r="DU63" s="139"/>
      <c r="DV63" s="139"/>
      <c r="DW63" s="139"/>
      <c r="DX63" s="139"/>
      <c r="DY63" s="139"/>
      <c r="DZ63" s="139"/>
      <c r="EA63" s="139"/>
      <c r="EB63" s="139"/>
      <c r="EC63" s="139"/>
      <c r="ED63" s="139"/>
      <c r="EE63" s="139"/>
      <c r="EF63" s="139"/>
      <c r="EG63" s="139"/>
      <c r="EH63" s="139"/>
      <c r="EI63" s="139"/>
      <c r="EJ63" s="139"/>
      <c r="EK63" s="139"/>
      <c r="EL63" s="139"/>
      <c r="EM63" s="139"/>
      <c r="EN63" s="139"/>
      <c r="EO63" s="139"/>
      <c r="EP63" s="139"/>
      <c r="EQ63" s="139"/>
      <c r="ER63" s="139"/>
      <c r="ES63" s="139"/>
      <c r="ET63" s="139"/>
      <c r="EU63" s="139"/>
      <c r="EV63" s="139"/>
      <c r="EW63" s="139"/>
      <c r="EX63" s="139"/>
      <c r="EY63" s="139"/>
      <c r="EZ63" s="139"/>
      <c r="FA63" s="139"/>
      <c r="FB63" s="139"/>
      <c r="FC63" s="139"/>
      <c r="FD63" s="139"/>
      <c r="FE63" s="139"/>
      <c r="FF63" s="139"/>
      <c r="FG63" s="139"/>
      <c r="FH63" s="139"/>
      <c r="FI63" s="139"/>
      <c r="FJ63" s="139"/>
      <c r="FK63" s="139"/>
      <c r="FL63" s="139"/>
      <c r="FM63" s="139"/>
      <c r="FN63" s="139"/>
      <c r="FO63" s="139"/>
      <c r="FP63" s="139"/>
      <c r="FQ63" s="139"/>
      <c r="FR63" s="139"/>
      <c r="FS63" s="139"/>
      <c r="FT63" s="139"/>
      <c r="FU63" s="139"/>
      <c r="FV63" s="139"/>
      <c r="FW63" s="139"/>
      <c r="FX63" s="139"/>
      <c r="FY63" s="139"/>
      <c r="FZ63" s="139"/>
      <c r="GA63" s="139"/>
      <c r="GB63" s="139"/>
      <c r="GC63" s="139"/>
      <c r="GD63" s="139"/>
      <c r="GE63" s="139"/>
      <c r="GF63" s="139"/>
      <c r="GG63" s="139"/>
      <c r="GH63" s="139"/>
      <c r="GI63" s="139"/>
      <c r="GJ63" s="139"/>
      <c r="GK63" s="139"/>
      <c r="GL63" s="139"/>
      <c r="GM63" s="139"/>
      <c r="GN63" s="139"/>
      <c r="GO63" s="139"/>
      <c r="GP63" s="139"/>
      <c r="GQ63" s="139"/>
      <c r="GR63" s="139"/>
      <c r="GS63" s="139"/>
      <c r="GT63" s="139"/>
      <c r="GU63" s="139"/>
      <c r="GV63" s="139"/>
      <c r="GW63" s="139"/>
      <c r="GX63" s="139"/>
      <c r="GY63" s="139"/>
      <c r="GZ63" s="139"/>
      <c r="HA63" s="139"/>
      <c r="HB63" s="139"/>
      <c r="HC63" s="139"/>
      <c r="HD63" s="139"/>
      <c r="HE63" s="139"/>
      <c r="HF63" s="139"/>
      <c r="HG63" s="139"/>
      <c r="HH63" s="139"/>
      <c r="HI63" s="139"/>
      <c r="HJ63" s="139"/>
      <c r="HK63" s="139"/>
      <c r="HL63" s="139"/>
      <c r="HM63" s="139"/>
      <c r="HN63" s="139"/>
      <c r="HO63" s="139"/>
      <c r="HP63" s="139"/>
      <c r="HQ63" s="139"/>
      <c r="HR63" s="139"/>
      <c r="HS63" s="139"/>
      <c r="HT63" s="139"/>
      <c r="HU63" s="139"/>
      <c r="HV63" s="139"/>
      <c r="HW63" s="139"/>
      <c r="HX63" s="139"/>
      <c r="HY63" s="139"/>
      <c r="HZ63" s="139"/>
      <c r="IA63" s="139"/>
      <c r="IB63" s="139"/>
      <c r="IC63" s="139"/>
      <c r="ID63" s="139"/>
      <c r="IE63" s="139"/>
      <c r="IF63" s="139"/>
      <c r="IG63" s="139"/>
      <c r="IH63" s="139"/>
      <c r="II63" s="139"/>
      <c r="IJ63" s="139"/>
      <c r="IK63" s="139"/>
      <c r="IL63" s="139"/>
      <c r="IM63" s="139"/>
      <c r="IN63" s="139"/>
    </row>
    <row r="64" spans="1:248" ht="12.75">
      <c r="A64" s="546"/>
      <c r="B64" s="139"/>
      <c r="C64" s="139"/>
      <c r="D64" s="552"/>
      <c r="E64" s="139"/>
      <c r="F64" s="139"/>
      <c r="G64" s="139"/>
      <c r="H64" s="139"/>
      <c r="I64" s="139"/>
      <c r="J64" s="139"/>
      <c r="K64" s="139"/>
      <c r="L64" s="139"/>
      <c r="M64" s="139"/>
      <c r="N64" s="139"/>
      <c r="O64" s="139"/>
      <c r="P64" s="139"/>
      <c r="Q64" s="553"/>
      <c r="R64" s="553"/>
      <c r="S64" s="553"/>
      <c r="T64" s="553"/>
      <c r="U64" s="553"/>
      <c r="V64" s="553"/>
      <c r="W64" s="554"/>
      <c r="X64" s="554"/>
      <c r="Y64" s="554"/>
      <c r="Z64" s="554"/>
      <c r="AA64" s="554"/>
      <c r="AB64" s="553"/>
      <c r="AC64" s="553"/>
      <c r="AD64" s="553"/>
      <c r="AE64" s="553"/>
      <c r="AF64" s="553"/>
      <c r="AG64" s="553"/>
      <c r="AH64" s="553"/>
      <c r="AI64" s="553"/>
      <c r="AJ64" s="553"/>
      <c r="AK64" s="553"/>
      <c r="AL64" s="553"/>
      <c r="AM64" s="553"/>
      <c r="AN64" s="553"/>
      <c r="AO64" s="553"/>
      <c r="AP64" s="553"/>
      <c r="AQ64" s="555"/>
      <c r="AR64" s="553"/>
      <c r="AS64" s="553"/>
      <c r="AT64" s="556"/>
      <c r="AU64" s="556"/>
      <c r="AV64" s="349"/>
      <c r="AW64" s="556"/>
      <c r="AX64" s="556"/>
      <c r="AY64" s="557"/>
      <c r="AZ64" s="557"/>
      <c r="BA64" s="553"/>
      <c r="BB64" s="553"/>
      <c r="BC64" s="553"/>
      <c r="BD64" s="553"/>
      <c r="BE64" s="553"/>
      <c r="BF64" s="351"/>
      <c r="BG64" s="351"/>
      <c r="BH64" s="351"/>
      <c r="BI64" s="351"/>
      <c r="BJ64" s="351"/>
      <c r="BK64" s="553"/>
      <c r="BL64" s="553"/>
      <c r="BM64" s="553"/>
      <c r="BN64" s="553"/>
      <c r="BO64" s="553"/>
      <c r="BP64" s="553"/>
      <c r="BQ64" s="553"/>
      <c r="BR64" s="553"/>
      <c r="BS64" s="553"/>
      <c r="BT64" s="553"/>
      <c r="BU64" s="553"/>
      <c r="BV64" s="553"/>
      <c r="BW64" s="349"/>
      <c r="BX64" s="349"/>
      <c r="BY64" s="349"/>
      <c r="BZ64" s="349"/>
      <c r="CA64" s="349"/>
      <c r="CB64" s="349"/>
      <c r="CC64" s="349"/>
      <c r="CD64" s="349"/>
      <c r="CE64" s="349"/>
      <c r="CG64" s="139"/>
      <c r="CH64" s="139"/>
      <c r="CI64" s="139"/>
      <c r="CJ64" s="139"/>
      <c r="CK64" s="139"/>
      <c r="CL64" s="139"/>
      <c r="CM64" s="139"/>
      <c r="CN64" s="139"/>
      <c r="CO64" s="139"/>
      <c r="CP64" s="139"/>
      <c r="CQ64" s="139"/>
      <c r="CR64" s="139"/>
      <c r="CS64" s="139"/>
      <c r="CT64" s="139"/>
      <c r="CU64" s="139"/>
      <c r="CV64" s="139"/>
      <c r="CW64" s="139"/>
      <c r="CX64" s="139"/>
      <c r="CY64" s="139"/>
      <c r="CZ64" s="139"/>
      <c r="DA64" s="139"/>
      <c r="DB64" s="139"/>
      <c r="DC64" s="139"/>
      <c r="DD64" s="139"/>
      <c r="DE64" s="139"/>
      <c r="DF64" s="139"/>
      <c r="DG64" s="139"/>
      <c r="DH64" s="139"/>
      <c r="DI64" s="139"/>
      <c r="DJ64" s="139"/>
      <c r="DK64" s="139"/>
      <c r="DL64" s="139"/>
      <c r="DM64" s="139"/>
      <c r="DN64" s="139"/>
      <c r="DO64" s="139"/>
      <c r="DP64" s="139"/>
      <c r="DQ64" s="139"/>
      <c r="DR64" s="139"/>
      <c r="DS64" s="139"/>
      <c r="DT64" s="139"/>
      <c r="DU64" s="139"/>
      <c r="DV64" s="139"/>
      <c r="DW64" s="139"/>
      <c r="DX64" s="139"/>
      <c r="DY64" s="139"/>
      <c r="DZ64" s="139"/>
      <c r="EA64" s="139"/>
      <c r="EB64" s="139"/>
      <c r="EC64" s="139"/>
      <c r="ED64" s="139"/>
      <c r="EE64" s="139"/>
      <c r="EF64" s="139"/>
      <c r="EG64" s="139"/>
      <c r="EH64" s="139"/>
      <c r="EI64" s="139"/>
      <c r="EJ64" s="139"/>
      <c r="EK64" s="139"/>
      <c r="EL64" s="139"/>
      <c r="EM64" s="139"/>
      <c r="EN64" s="139"/>
      <c r="EO64" s="139"/>
      <c r="EP64" s="139"/>
      <c r="EQ64" s="139"/>
      <c r="ER64" s="139"/>
      <c r="ES64" s="139"/>
      <c r="ET64" s="139"/>
      <c r="EU64" s="139"/>
      <c r="EV64" s="139"/>
      <c r="EW64" s="139"/>
      <c r="EX64" s="139"/>
      <c r="EY64" s="139"/>
      <c r="EZ64" s="139"/>
      <c r="FA64" s="139"/>
      <c r="FB64" s="139"/>
      <c r="FC64" s="139"/>
      <c r="FD64" s="139"/>
      <c r="FE64" s="139"/>
      <c r="FF64" s="139"/>
      <c r="FG64" s="139"/>
      <c r="FH64" s="139"/>
      <c r="FI64" s="139"/>
      <c r="FJ64" s="139"/>
      <c r="FK64" s="139"/>
      <c r="FL64" s="139"/>
      <c r="FM64" s="139"/>
      <c r="FN64" s="139"/>
      <c r="FO64" s="139"/>
      <c r="FP64" s="139"/>
      <c r="FQ64" s="139"/>
      <c r="FR64" s="139"/>
      <c r="FS64" s="139"/>
      <c r="FT64" s="139"/>
      <c r="FU64" s="139"/>
      <c r="FV64" s="139"/>
      <c r="FW64" s="139"/>
      <c r="FX64" s="139"/>
      <c r="FY64" s="139"/>
      <c r="FZ64" s="139"/>
      <c r="GA64" s="139"/>
      <c r="GB64" s="139"/>
      <c r="GC64" s="139"/>
      <c r="GD64" s="139"/>
      <c r="GE64" s="139"/>
      <c r="GF64" s="139"/>
      <c r="GG64" s="139"/>
      <c r="GH64" s="139"/>
      <c r="GI64" s="139"/>
      <c r="GJ64" s="139"/>
      <c r="GK64" s="139"/>
      <c r="GL64" s="139"/>
      <c r="GM64" s="139"/>
      <c r="GN64" s="139"/>
      <c r="GO64" s="139"/>
      <c r="GP64" s="139"/>
      <c r="GQ64" s="139"/>
      <c r="GR64" s="139"/>
      <c r="GS64" s="139"/>
      <c r="GT64" s="139"/>
      <c r="GU64" s="139"/>
      <c r="GV64" s="139"/>
      <c r="GW64" s="139"/>
      <c r="GX64" s="139"/>
      <c r="GY64" s="139"/>
      <c r="GZ64" s="139"/>
      <c r="HA64" s="139"/>
      <c r="HB64" s="139"/>
      <c r="HC64" s="139"/>
      <c r="HD64" s="139"/>
      <c r="HE64" s="139"/>
      <c r="HF64" s="139"/>
      <c r="HG64" s="139"/>
      <c r="HH64" s="139"/>
      <c r="HI64" s="139"/>
      <c r="HJ64" s="139"/>
      <c r="HK64" s="139"/>
      <c r="HL64" s="139"/>
      <c r="HM64" s="139"/>
      <c r="HN64" s="139"/>
      <c r="HO64" s="139"/>
      <c r="HP64" s="139"/>
      <c r="HQ64" s="139"/>
      <c r="HR64" s="139"/>
      <c r="HS64" s="139"/>
      <c r="HT64" s="139"/>
      <c r="HU64" s="139"/>
      <c r="HV64" s="139"/>
      <c r="HW64" s="139"/>
      <c r="HX64" s="139"/>
      <c r="HY64" s="139"/>
      <c r="HZ64" s="139"/>
      <c r="IA64" s="139"/>
      <c r="IB64" s="139"/>
      <c r="IC64" s="139"/>
      <c r="ID64" s="139"/>
      <c r="IE64" s="139"/>
      <c r="IF64" s="139"/>
      <c r="IG64" s="139"/>
      <c r="IH64" s="139"/>
      <c r="II64" s="139"/>
      <c r="IJ64" s="139"/>
      <c r="IK64" s="139"/>
      <c r="IL64" s="139"/>
      <c r="IM64" s="139"/>
      <c r="IN64" s="139"/>
    </row>
    <row r="65" spans="1:248" ht="12.75">
      <c r="A65" s="546"/>
      <c r="B65" s="139"/>
      <c r="C65" s="139"/>
      <c r="D65" s="552"/>
      <c r="E65" s="139"/>
      <c r="F65" s="139"/>
      <c r="G65" s="139"/>
      <c r="H65" s="139"/>
      <c r="I65" s="139"/>
      <c r="J65" s="139"/>
      <c r="K65" s="139"/>
      <c r="L65" s="139"/>
      <c r="M65" s="139"/>
      <c r="N65" s="139"/>
      <c r="O65" s="139"/>
      <c r="P65" s="139"/>
      <c r="Q65" s="553"/>
      <c r="R65" s="553"/>
      <c r="S65" s="553"/>
      <c r="T65" s="553"/>
      <c r="U65" s="553"/>
      <c r="V65" s="553"/>
      <c r="W65" s="554"/>
      <c r="X65" s="554"/>
      <c r="Y65" s="554"/>
      <c r="Z65" s="554"/>
      <c r="AA65" s="554"/>
      <c r="AB65" s="553"/>
      <c r="AC65" s="553"/>
      <c r="AD65" s="553"/>
      <c r="AE65" s="553"/>
      <c r="AF65" s="553"/>
      <c r="AG65" s="553"/>
      <c r="AH65" s="553"/>
      <c r="AI65" s="553"/>
      <c r="AJ65" s="553"/>
      <c r="AK65" s="553"/>
      <c r="AL65" s="553"/>
      <c r="AM65" s="553"/>
      <c r="AN65" s="553"/>
      <c r="AO65" s="553"/>
      <c r="AP65" s="553"/>
      <c r="AQ65" s="555"/>
      <c r="AR65" s="553"/>
      <c r="AS65" s="553"/>
      <c r="AT65" s="556"/>
      <c r="AU65" s="556"/>
      <c r="AV65" s="349"/>
      <c r="AW65" s="556"/>
      <c r="AX65" s="556"/>
      <c r="AY65" s="557"/>
      <c r="AZ65" s="557"/>
      <c r="BA65" s="553"/>
      <c r="BB65" s="553"/>
      <c r="BC65" s="553"/>
      <c r="BD65" s="553"/>
      <c r="BE65" s="553"/>
      <c r="BF65" s="351"/>
      <c r="BG65" s="351"/>
      <c r="BH65" s="351"/>
      <c r="BI65" s="351"/>
      <c r="BJ65" s="351"/>
      <c r="BK65" s="553"/>
      <c r="BL65" s="553"/>
      <c r="BM65" s="553"/>
      <c r="BN65" s="553"/>
      <c r="BO65" s="553"/>
      <c r="BP65" s="553"/>
      <c r="BQ65" s="553"/>
      <c r="BR65" s="553"/>
      <c r="BS65" s="553"/>
      <c r="BT65" s="553"/>
      <c r="BU65" s="553"/>
      <c r="BV65" s="553"/>
      <c r="BW65" s="349"/>
      <c r="BX65" s="349"/>
      <c r="BY65" s="349"/>
      <c r="BZ65" s="349"/>
      <c r="CA65" s="349"/>
      <c r="CB65" s="349"/>
      <c r="CC65" s="349"/>
      <c r="CD65" s="349"/>
      <c r="CE65" s="349"/>
      <c r="CG65" s="139"/>
      <c r="CH65" s="139"/>
      <c r="CI65" s="139"/>
      <c r="CJ65" s="139"/>
      <c r="CK65" s="139"/>
      <c r="CL65" s="139"/>
      <c r="CM65" s="139"/>
      <c r="CN65" s="139"/>
      <c r="CO65" s="139"/>
      <c r="CP65" s="139"/>
      <c r="CQ65" s="139"/>
      <c r="CR65" s="139"/>
      <c r="CS65" s="139"/>
      <c r="CT65" s="139"/>
      <c r="CU65" s="139"/>
      <c r="CV65" s="139"/>
      <c r="CW65" s="139"/>
      <c r="CX65" s="139"/>
      <c r="CY65" s="139"/>
      <c r="CZ65" s="139"/>
      <c r="DA65" s="139"/>
      <c r="DB65" s="139"/>
      <c r="DC65" s="139"/>
      <c r="DD65" s="139"/>
      <c r="DE65" s="139"/>
      <c r="DF65" s="139"/>
      <c r="DG65" s="139"/>
      <c r="DH65" s="139"/>
      <c r="DI65" s="139"/>
      <c r="DJ65" s="139"/>
      <c r="DK65" s="139"/>
      <c r="DL65" s="139"/>
      <c r="DM65" s="139"/>
      <c r="DN65" s="139"/>
      <c r="DO65" s="139"/>
      <c r="DP65" s="139"/>
      <c r="DQ65" s="139"/>
      <c r="DR65" s="139"/>
      <c r="DS65" s="139"/>
      <c r="DT65" s="139"/>
      <c r="DU65" s="139"/>
      <c r="DV65" s="139"/>
      <c r="DW65" s="139"/>
      <c r="DX65" s="139"/>
      <c r="DY65" s="139"/>
      <c r="DZ65" s="139"/>
      <c r="EA65" s="139"/>
      <c r="EB65" s="139"/>
      <c r="EC65" s="139"/>
      <c r="ED65" s="139"/>
      <c r="EE65" s="139"/>
      <c r="EF65" s="139"/>
      <c r="EG65" s="139"/>
      <c r="EH65" s="139"/>
      <c r="EI65" s="139"/>
      <c r="EJ65" s="139"/>
      <c r="EK65" s="139"/>
      <c r="EL65" s="139"/>
      <c r="EM65" s="139"/>
      <c r="EN65" s="139"/>
      <c r="EO65" s="139"/>
      <c r="EP65" s="139"/>
      <c r="EQ65" s="139"/>
      <c r="ER65" s="139"/>
      <c r="ES65" s="139"/>
      <c r="ET65" s="139"/>
      <c r="EU65" s="139"/>
      <c r="EV65" s="139"/>
      <c r="EW65" s="139"/>
      <c r="EX65" s="139"/>
      <c r="EY65" s="139"/>
      <c r="EZ65" s="139"/>
      <c r="FA65" s="139"/>
      <c r="FB65" s="139"/>
      <c r="FC65" s="139"/>
      <c r="FD65" s="139"/>
      <c r="FE65" s="139"/>
      <c r="FF65" s="139"/>
      <c r="FG65" s="139"/>
      <c r="FH65" s="139"/>
      <c r="FI65" s="139"/>
      <c r="FJ65" s="139"/>
      <c r="FK65" s="139"/>
      <c r="FL65" s="139"/>
      <c r="FM65" s="139"/>
      <c r="FN65" s="139"/>
      <c r="FO65" s="139"/>
      <c r="FP65" s="139"/>
      <c r="FQ65" s="139"/>
      <c r="FR65" s="139"/>
      <c r="FS65" s="139"/>
      <c r="FT65" s="139"/>
      <c r="FU65" s="139"/>
      <c r="FV65" s="139"/>
      <c r="FW65" s="139"/>
      <c r="FX65" s="139"/>
      <c r="FY65" s="139"/>
      <c r="FZ65" s="139"/>
      <c r="GA65" s="139"/>
      <c r="GB65" s="139"/>
      <c r="GC65" s="139"/>
      <c r="GD65" s="139"/>
      <c r="GE65" s="139"/>
      <c r="GF65" s="139"/>
      <c r="GG65" s="139"/>
      <c r="GH65" s="139"/>
      <c r="GI65" s="139"/>
      <c r="GJ65" s="139"/>
      <c r="GK65" s="139"/>
      <c r="GL65" s="139"/>
      <c r="GM65" s="139"/>
      <c r="GN65" s="139"/>
      <c r="GO65" s="139"/>
      <c r="GP65" s="139"/>
      <c r="GQ65" s="139"/>
      <c r="GR65" s="139"/>
      <c r="GS65" s="139"/>
      <c r="GT65" s="139"/>
      <c r="GU65" s="139"/>
      <c r="GV65" s="139"/>
      <c r="GW65" s="139"/>
      <c r="GX65" s="139"/>
      <c r="GY65" s="139"/>
      <c r="GZ65" s="139"/>
      <c r="HA65" s="139"/>
      <c r="HB65" s="139"/>
      <c r="HC65" s="139"/>
      <c r="HD65" s="139"/>
      <c r="HE65" s="139"/>
      <c r="HF65" s="139"/>
      <c r="HG65" s="139"/>
      <c r="HH65" s="139"/>
      <c r="HI65" s="139"/>
      <c r="HJ65" s="139"/>
      <c r="HK65" s="139"/>
      <c r="HL65" s="139"/>
      <c r="HM65" s="139"/>
      <c r="HN65" s="139"/>
      <c r="HO65" s="139"/>
      <c r="HP65" s="139"/>
      <c r="HQ65" s="139"/>
      <c r="HR65" s="139"/>
      <c r="HS65" s="139"/>
      <c r="HT65" s="139"/>
      <c r="HU65" s="139"/>
      <c r="HV65" s="139"/>
      <c r="HW65" s="139"/>
      <c r="HX65" s="139"/>
      <c r="HY65" s="139"/>
      <c r="HZ65" s="139"/>
      <c r="IA65" s="139"/>
      <c r="IB65" s="139"/>
      <c r="IC65" s="139"/>
      <c r="ID65" s="139"/>
      <c r="IE65" s="139"/>
      <c r="IF65" s="139"/>
      <c r="IG65" s="139"/>
      <c r="IH65" s="139"/>
      <c r="II65" s="139"/>
      <c r="IJ65" s="139"/>
      <c r="IK65" s="139"/>
      <c r="IL65" s="139"/>
      <c r="IM65" s="139"/>
      <c r="IN65" s="139"/>
    </row>
    <row r="66" spans="1:248" ht="12.75">
      <c r="A66" s="546"/>
      <c r="B66" s="139"/>
      <c r="C66" s="139"/>
      <c r="D66" s="552"/>
      <c r="E66" s="139"/>
      <c r="F66" s="139"/>
      <c r="G66" s="139"/>
      <c r="H66" s="139"/>
      <c r="I66" s="139"/>
      <c r="J66" s="139"/>
      <c r="K66" s="139"/>
      <c r="L66" s="139"/>
      <c r="M66" s="139"/>
      <c r="N66" s="139"/>
      <c r="O66" s="139"/>
      <c r="P66" s="139"/>
      <c r="Q66" s="553"/>
      <c r="R66" s="553"/>
      <c r="S66" s="553"/>
      <c r="T66" s="553"/>
      <c r="U66" s="553"/>
      <c r="V66" s="554"/>
      <c r="W66" s="554"/>
      <c r="X66" s="554"/>
      <c r="Y66" s="554"/>
      <c r="Z66" s="554"/>
      <c r="AA66" s="553"/>
      <c r="AB66" s="553"/>
      <c r="AC66" s="553"/>
      <c r="AD66" s="553"/>
      <c r="AE66" s="553"/>
      <c r="AF66" s="553"/>
      <c r="AG66" s="553"/>
      <c r="AH66" s="553"/>
      <c r="AI66" s="553"/>
      <c r="AJ66" s="553"/>
      <c r="AK66" s="553"/>
      <c r="AL66" s="553"/>
      <c r="AM66" s="553"/>
      <c r="AN66" s="553"/>
      <c r="AO66" s="553"/>
      <c r="AP66" s="553"/>
      <c r="AQ66" s="555"/>
      <c r="AR66" s="553"/>
      <c r="AS66" s="553"/>
      <c r="AT66" s="557"/>
      <c r="AU66" s="557"/>
      <c r="AV66" s="349"/>
      <c r="AW66" s="557"/>
      <c r="AX66" s="557"/>
      <c r="AY66" s="557"/>
      <c r="AZ66" s="557"/>
      <c r="BA66" s="553"/>
      <c r="BB66" s="553"/>
      <c r="BC66" s="553"/>
      <c r="BD66" s="351"/>
      <c r="BE66" s="351"/>
      <c r="BF66" s="553"/>
      <c r="BG66" s="553"/>
      <c r="BH66" s="553"/>
      <c r="BI66" s="553"/>
      <c r="BJ66" s="553"/>
      <c r="BK66" s="553"/>
      <c r="BL66" s="553"/>
      <c r="BM66" s="553"/>
      <c r="BN66" s="553"/>
      <c r="BO66" s="553"/>
      <c r="BP66" s="553"/>
      <c r="BQ66" s="349"/>
      <c r="BR66" s="349"/>
      <c r="BS66" s="349"/>
      <c r="BT66" s="349"/>
      <c r="BU66" s="349"/>
      <c r="BV66" s="349"/>
      <c r="BW66" s="349"/>
      <c r="BX66" s="349"/>
      <c r="BY66" s="349"/>
      <c r="BZ66" s="349"/>
      <c r="CA66" s="349"/>
      <c r="CB66" s="349"/>
      <c r="CC66" s="349"/>
      <c r="CD66" s="349"/>
      <c r="CE66" s="349"/>
      <c r="CG66" s="139"/>
      <c r="CH66" s="139"/>
      <c r="CI66" s="139"/>
      <c r="CJ66" s="139"/>
      <c r="CK66" s="139"/>
      <c r="CL66" s="139"/>
      <c r="CM66" s="139"/>
      <c r="CN66" s="139"/>
      <c r="CO66" s="139"/>
      <c r="CP66" s="139"/>
      <c r="CQ66" s="139"/>
      <c r="CR66" s="139"/>
      <c r="CS66" s="139"/>
      <c r="CT66" s="139"/>
      <c r="CU66" s="139"/>
      <c r="CV66" s="139"/>
      <c r="CW66" s="139"/>
      <c r="CX66" s="139"/>
      <c r="CY66" s="139"/>
      <c r="CZ66" s="139"/>
      <c r="DA66" s="139"/>
      <c r="DB66" s="139"/>
      <c r="DC66" s="139"/>
      <c r="DD66" s="139"/>
      <c r="DE66" s="139"/>
      <c r="DF66" s="139"/>
      <c r="DG66" s="139"/>
      <c r="DH66" s="139"/>
      <c r="DI66" s="139"/>
      <c r="DJ66" s="139"/>
      <c r="DK66" s="139"/>
      <c r="DL66" s="139"/>
      <c r="DM66" s="139"/>
      <c r="DN66" s="139"/>
      <c r="DO66" s="139"/>
      <c r="DP66" s="139"/>
      <c r="DQ66" s="139"/>
      <c r="DR66" s="139"/>
      <c r="DS66" s="139"/>
      <c r="DT66" s="139"/>
      <c r="DU66" s="139"/>
      <c r="DV66" s="139"/>
      <c r="DW66" s="139"/>
      <c r="DX66" s="139"/>
      <c r="DY66" s="139"/>
      <c r="DZ66" s="139"/>
      <c r="EA66" s="139"/>
      <c r="EB66" s="139"/>
      <c r="EC66" s="139"/>
      <c r="ED66" s="139"/>
      <c r="EE66" s="139"/>
      <c r="EF66" s="139"/>
      <c r="EG66" s="139"/>
      <c r="EH66" s="139"/>
      <c r="EI66" s="139"/>
      <c r="EJ66" s="139"/>
      <c r="EK66" s="139"/>
      <c r="EL66" s="139"/>
      <c r="EM66" s="139"/>
      <c r="EN66" s="139"/>
      <c r="EO66" s="139"/>
      <c r="EP66" s="139"/>
      <c r="EQ66" s="139"/>
      <c r="ER66" s="139"/>
      <c r="ES66" s="139"/>
      <c r="ET66" s="139"/>
      <c r="EU66" s="139"/>
      <c r="EV66" s="139"/>
      <c r="EW66" s="139"/>
      <c r="EX66" s="139"/>
      <c r="EY66" s="139"/>
      <c r="EZ66" s="139"/>
      <c r="FA66" s="139"/>
      <c r="FB66" s="139"/>
      <c r="FC66" s="139"/>
      <c r="FD66" s="139"/>
      <c r="FE66" s="139"/>
      <c r="FF66" s="139"/>
      <c r="FG66" s="139"/>
      <c r="FH66" s="139"/>
      <c r="FI66" s="139"/>
      <c r="FJ66" s="139"/>
      <c r="FK66" s="139"/>
      <c r="FL66" s="139"/>
      <c r="FM66" s="139"/>
      <c r="FN66" s="139"/>
      <c r="FO66" s="139"/>
      <c r="FP66" s="139"/>
      <c r="FQ66" s="139"/>
      <c r="FR66" s="139"/>
      <c r="FS66" s="139"/>
      <c r="FT66" s="139"/>
      <c r="FU66" s="139"/>
      <c r="FV66" s="139"/>
      <c r="FW66" s="139"/>
      <c r="FX66" s="139"/>
      <c r="FY66" s="139"/>
      <c r="FZ66" s="139"/>
      <c r="GA66" s="139"/>
      <c r="GB66" s="139"/>
      <c r="GC66" s="139"/>
      <c r="GD66" s="139"/>
      <c r="GE66" s="139"/>
      <c r="GF66" s="139"/>
      <c r="GG66" s="139"/>
      <c r="GH66" s="139"/>
      <c r="GI66" s="139"/>
      <c r="GJ66" s="139"/>
      <c r="GK66" s="139"/>
      <c r="GL66" s="139"/>
      <c r="GM66" s="139"/>
      <c r="GN66" s="139"/>
      <c r="GO66" s="139"/>
      <c r="GP66" s="139"/>
      <c r="GQ66" s="139"/>
      <c r="GR66" s="139"/>
      <c r="GS66" s="139"/>
      <c r="GT66" s="139"/>
      <c r="GU66" s="139"/>
      <c r="GV66" s="139"/>
      <c r="GW66" s="139"/>
      <c r="GX66" s="139"/>
      <c r="GY66" s="139"/>
      <c r="GZ66" s="139"/>
      <c r="HA66" s="139"/>
      <c r="HB66" s="139"/>
      <c r="HC66" s="139"/>
      <c r="HD66" s="139"/>
      <c r="HE66" s="139"/>
      <c r="HF66" s="139"/>
      <c r="HG66" s="139"/>
      <c r="HH66" s="139"/>
      <c r="HI66" s="139"/>
      <c r="HJ66" s="139"/>
      <c r="HK66" s="139"/>
      <c r="HL66" s="139"/>
      <c r="HM66" s="139"/>
      <c r="HN66" s="139"/>
      <c r="HO66" s="139"/>
      <c r="HP66" s="139"/>
      <c r="HQ66" s="139"/>
      <c r="HR66" s="139"/>
      <c r="HS66" s="139"/>
      <c r="HT66" s="139"/>
      <c r="HU66" s="139"/>
      <c r="HV66" s="139"/>
      <c r="HW66" s="139"/>
      <c r="HX66" s="139"/>
      <c r="HY66" s="139"/>
      <c r="HZ66" s="139"/>
      <c r="IA66" s="139"/>
      <c r="IB66" s="139"/>
      <c r="IC66" s="139"/>
      <c r="ID66" s="139"/>
      <c r="IE66" s="139"/>
      <c r="IF66" s="139"/>
      <c r="IG66" s="139"/>
      <c r="IH66" s="139"/>
      <c r="II66" s="139"/>
      <c r="IJ66" s="139"/>
      <c r="IK66" s="139"/>
      <c r="IL66" s="139"/>
      <c r="IM66" s="139"/>
      <c r="IN66" s="139"/>
    </row>
    <row r="67" spans="1:248" ht="13.5">
      <c r="A67" s="546"/>
      <c r="B67" s="139"/>
      <c r="C67" s="139"/>
      <c r="D67" s="552"/>
      <c r="E67" s="139"/>
      <c r="F67" s="139"/>
      <c r="G67" s="139"/>
      <c r="H67" s="139"/>
      <c r="I67" s="139"/>
      <c r="J67" s="139"/>
      <c r="K67" s="139"/>
      <c r="L67" s="139"/>
      <c r="M67" s="139"/>
      <c r="N67" s="139"/>
      <c r="O67" s="139"/>
      <c r="P67" s="139"/>
      <c r="Q67" s="553"/>
      <c r="R67" s="553"/>
      <c r="S67" s="553"/>
      <c r="T67" s="553"/>
      <c r="U67" s="553"/>
      <c r="V67" s="554"/>
      <c r="W67" s="554"/>
      <c r="X67" s="554"/>
      <c r="Y67" s="554"/>
      <c r="Z67" s="553"/>
      <c r="AA67" s="553"/>
      <c r="AB67" s="553"/>
      <c r="AC67" s="553"/>
      <c r="AD67" s="553"/>
      <c r="AE67" s="553"/>
      <c r="AF67" s="553"/>
      <c r="AG67" s="553"/>
      <c r="AH67" s="553"/>
      <c r="AI67" s="553"/>
      <c r="AJ67" s="553"/>
      <c r="AK67" s="553"/>
      <c r="AL67" s="553"/>
      <c r="AM67" s="553"/>
      <c r="AN67" s="553"/>
      <c r="AO67" s="553"/>
      <c r="AP67" s="553"/>
      <c r="AQ67" s="555"/>
      <c r="AR67" s="553"/>
      <c r="AS67" s="558"/>
      <c r="AT67" s="557"/>
      <c r="AU67" s="557"/>
      <c r="AV67" s="349"/>
      <c r="AW67" s="557"/>
      <c r="AX67" s="557"/>
      <c r="AY67" s="557"/>
      <c r="AZ67" s="557"/>
      <c r="BA67" s="351"/>
      <c r="BB67" s="351"/>
      <c r="BC67" s="351"/>
      <c r="BD67" s="553"/>
      <c r="BE67" s="553"/>
      <c r="BF67" s="553"/>
      <c r="BG67" s="553"/>
      <c r="BH67" s="553"/>
      <c r="BI67" s="553"/>
      <c r="BJ67" s="553"/>
      <c r="BK67" s="553"/>
      <c r="BL67" s="553"/>
      <c r="BM67" s="553"/>
      <c r="BN67" s="553"/>
      <c r="BO67" s="553"/>
      <c r="BP67" s="349"/>
      <c r="BQ67" s="349"/>
      <c r="BR67" s="349"/>
      <c r="BS67" s="349"/>
      <c r="BT67" s="349"/>
      <c r="BU67" s="349"/>
      <c r="BV67" s="349"/>
      <c r="BW67" s="349"/>
      <c r="BX67" s="349"/>
      <c r="BY67" s="349"/>
      <c r="BZ67" s="349"/>
      <c r="CA67" s="349"/>
      <c r="CB67" s="349"/>
      <c r="CC67" s="349"/>
      <c r="CD67" s="349"/>
      <c r="CE67" s="349"/>
      <c r="CF67" s="559"/>
      <c r="CG67" s="139"/>
      <c r="CH67" s="139"/>
      <c r="CI67" s="139"/>
      <c r="CJ67" s="139"/>
      <c r="CK67" s="139"/>
      <c r="CL67" s="139"/>
      <c r="CM67" s="139"/>
      <c r="CN67" s="139"/>
      <c r="CO67" s="139"/>
      <c r="CP67" s="139"/>
      <c r="CQ67" s="139"/>
      <c r="CR67" s="139"/>
      <c r="CS67" s="139"/>
      <c r="CT67" s="139"/>
      <c r="CU67" s="139"/>
      <c r="CV67" s="139"/>
      <c r="CW67" s="139"/>
      <c r="CX67" s="139"/>
      <c r="CY67" s="139"/>
      <c r="CZ67" s="139"/>
      <c r="DA67" s="139"/>
      <c r="DB67" s="139"/>
      <c r="DC67" s="139"/>
      <c r="DD67" s="139"/>
      <c r="DE67" s="139"/>
      <c r="DF67" s="139"/>
      <c r="DG67" s="139"/>
      <c r="DH67" s="139"/>
      <c r="DI67" s="139"/>
      <c r="DJ67" s="139"/>
      <c r="DK67" s="139"/>
      <c r="DL67" s="139"/>
      <c r="DM67" s="139"/>
      <c r="DN67" s="139"/>
      <c r="DO67" s="139"/>
      <c r="DP67" s="139"/>
      <c r="DQ67" s="139"/>
      <c r="DR67" s="139"/>
      <c r="DS67" s="139"/>
      <c r="DT67" s="139"/>
      <c r="DU67" s="139"/>
      <c r="DV67" s="139"/>
      <c r="DW67" s="139"/>
      <c r="DX67" s="139"/>
      <c r="DY67" s="139"/>
      <c r="DZ67" s="139"/>
      <c r="EA67" s="139"/>
      <c r="EB67" s="139"/>
      <c r="EC67" s="139"/>
      <c r="ED67" s="139"/>
      <c r="EE67" s="139"/>
      <c r="EF67" s="139"/>
      <c r="EG67" s="139"/>
      <c r="EH67" s="139"/>
      <c r="EI67" s="139"/>
      <c r="EJ67" s="139"/>
      <c r="EK67" s="139"/>
      <c r="EL67" s="139"/>
      <c r="EM67" s="139"/>
      <c r="EN67" s="139"/>
      <c r="EO67" s="139"/>
      <c r="EP67" s="139"/>
      <c r="EQ67" s="139"/>
      <c r="ER67" s="139"/>
      <c r="ES67" s="139"/>
      <c r="ET67" s="139"/>
      <c r="EU67" s="139"/>
      <c r="EV67" s="139"/>
      <c r="EW67" s="139"/>
      <c r="EX67" s="139"/>
      <c r="EY67" s="139"/>
      <c r="EZ67" s="139"/>
      <c r="FA67" s="139"/>
      <c r="FB67" s="139"/>
      <c r="FC67" s="139"/>
      <c r="FD67" s="139"/>
      <c r="FE67" s="139"/>
      <c r="FF67" s="139"/>
      <c r="FG67" s="139"/>
      <c r="FH67" s="139"/>
      <c r="FI67" s="139"/>
      <c r="FJ67" s="139"/>
      <c r="FK67" s="139"/>
      <c r="FL67" s="139"/>
      <c r="FM67" s="139"/>
      <c r="FN67" s="139"/>
      <c r="FO67" s="139"/>
      <c r="FP67" s="139"/>
      <c r="FQ67" s="139"/>
      <c r="FR67" s="139"/>
      <c r="FS67" s="139"/>
      <c r="FT67" s="139"/>
      <c r="FU67" s="139"/>
      <c r="FV67" s="139"/>
      <c r="FW67" s="139"/>
      <c r="FX67" s="139"/>
      <c r="FY67" s="139"/>
      <c r="FZ67" s="139"/>
      <c r="GA67" s="139"/>
      <c r="GB67" s="139"/>
      <c r="GC67" s="139"/>
      <c r="GD67" s="139"/>
      <c r="GE67" s="139"/>
      <c r="GF67" s="139"/>
      <c r="GG67" s="139"/>
      <c r="GH67" s="139"/>
      <c r="GI67" s="139"/>
      <c r="GJ67" s="139"/>
      <c r="GK67" s="139"/>
      <c r="GL67" s="139"/>
      <c r="GM67" s="139"/>
      <c r="GN67" s="139"/>
      <c r="GO67" s="139"/>
      <c r="GP67" s="139"/>
      <c r="GQ67" s="139"/>
      <c r="GR67" s="139"/>
      <c r="GS67" s="139"/>
      <c r="GT67" s="139"/>
      <c r="GU67" s="139"/>
      <c r="GV67" s="139"/>
      <c r="GW67" s="139"/>
      <c r="GX67" s="139"/>
      <c r="GY67" s="139"/>
      <c r="GZ67" s="139"/>
      <c r="HA67" s="139"/>
      <c r="HB67" s="139"/>
      <c r="HC67" s="139"/>
      <c r="HD67" s="139"/>
      <c r="HE67" s="139"/>
      <c r="HF67" s="139"/>
      <c r="HG67" s="139"/>
      <c r="HH67" s="139"/>
      <c r="HI67" s="139"/>
      <c r="HJ67" s="139"/>
      <c r="HK67" s="139"/>
      <c r="HL67" s="139"/>
      <c r="HM67" s="139"/>
      <c r="HN67" s="139"/>
      <c r="HO67" s="139"/>
      <c r="HP67" s="139"/>
      <c r="HQ67" s="139"/>
      <c r="HR67" s="139"/>
      <c r="HS67" s="139"/>
      <c r="HT67" s="139"/>
      <c r="HU67" s="139"/>
      <c r="HV67" s="139"/>
      <c r="HW67" s="139"/>
      <c r="HX67" s="139"/>
      <c r="HY67" s="139"/>
      <c r="HZ67" s="139"/>
      <c r="IA67" s="139"/>
      <c r="IB67" s="139"/>
      <c r="IC67" s="139"/>
      <c r="ID67" s="139"/>
      <c r="IE67" s="139"/>
      <c r="IF67" s="139"/>
      <c r="IG67" s="139"/>
      <c r="IH67" s="139"/>
      <c r="II67" s="139"/>
      <c r="IJ67" s="139"/>
      <c r="IK67" s="139"/>
      <c r="IL67" s="139"/>
      <c r="IM67" s="139"/>
      <c r="IN67" s="139"/>
    </row>
    <row r="68" spans="1:248" ht="12.75">
      <c r="A68" s="546"/>
      <c r="B68" s="139"/>
      <c r="C68" s="139"/>
      <c r="D68" s="552"/>
      <c r="E68" s="139"/>
      <c r="F68" s="139"/>
      <c r="G68" s="139"/>
      <c r="H68" s="139"/>
      <c r="I68" s="139"/>
      <c r="J68" s="139"/>
      <c r="K68" s="139"/>
      <c r="L68" s="139"/>
      <c r="M68" s="139"/>
      <c r="N68" s="139"/>
      <c r="O68" s="139"/>
      <c r="P68" s="139"/>
      <c r="Q68" s="553"/>
      <c r="R68" s="553"/>
      <c r="S68" s="553"/>
      <c r="T68" s="553"/>
      <c r="U68" s="553"/>
      <c r="V68" s="553"/>
      <c r="W68" s="553"/>
      <c r="X68" s="553"/>
      <c r="Y68" s="553"/>
      <c r="Z68" s="554"/>
      <c r="AA68" s="554"/>
      <c r="AB68" s="554"/>
      <c r="AC68" s="554"/>
      <c r="AD68" s="554"/>
      <c r="AE68" s="554"/>
      <c r="AF68" s="553"/>
      <c r="AG68" s="553"/>
      <c r="AH68" s="553"/>
      <c r="AI68" s="553"/>
      <c r="AJ68" s="553"/>
      <c r="AK68" s="553"/>
      <c r="AL68" s="553"/>
      <c r="AM68" s="553"/>
      <c r="AN68" s="553"/>
      <c r="AO68" s="553"/>
      <c r="AP68" s="553"/>
      <c r="AQ68" s="555"/>
      <c r="AR68" s="553"/>
      <c r="AS68" s="553"/>
      <c r="AT68" s="553"/>
      <c r="AU68" s="553"/>
      <c r="AV68" s="349"/>
      <c r="AW68" s="553"/>
      <c r="AX68" s="553"/>
      <c r="AY68" s="553"/>
      <c r="AZ68" s="553"/>
      <c r="BC68" s="349"/>
      <c r="BD68" s="557"/>
      <c r="BE68" s="557"/>
      <c r="BF68" s="553"/>
      <c r="BG68" s="553"/>
      <c r="BH68" s="553"/>
      <c r="BI68" s="553"/>
      <c r="BJ68" s="553"/>
      <c r="BK68" s="553"/>
      <c r="BL68" s="553"/>
      <c r="BM68" s="553"/>
      <c r="BN68" s="351"/>
      <c r="BO68" s="553"/>
      <c r="BP68" s="553"/>
      <c r="BQ68" s="553"/>
      <c r="BR68" s="553"/>
      <c r="BS68" s="553"/>
      <c r="BT68" s="553"/>
      <c r="BU68" s="553"/>
      <c r="BV68" s="553"/>
      <c r="BW68" s="553"/>
      <c r="BX68" s="553"/>
      <c r="BY68" s="553"/>
      <c r="BZ68" s="553"/>
      <c r="CA68" s="553"/>
      <c r="CB68" s="553"/>
      <c r="CC68" s="553"/>
      <c r="CD68" s="553"/>
      <c r="CE68" s="553"/>
      <c r="CF68" s="553"/>
      <c r="CG68" s="139"/>
      <c r="CH68" s="139"/>
      <c r="CI68" s="139"/>
      <c r="CJ68" s="139"/>
      <c r="CK68" s="139"/>
      <c r="CL68" s="139"/>
      <c r="CM68" s="139"/>
      <c r="CN68" s="139"/>
      <c r="CO68" s="139"/>
      <c r="CP68" s="139"/>
      <c r="CQ68" s="139"/>
      <c r="CR68" s="139"/>
      <c r="CS68" s="139"/>
      <c r="CT68" s="139"/>
      <c r="CU68" s="139"/>
      <c r="CV68" s="139"/>
      <c r="CW68" s="139"/>
      <c r="CX68" s="139"/>
      <c r="CY68" s="139"/>
      <c r="CZ68" s="139"/>
      <c r="DA68" s="139"/>
      <c r="DB68" s="139"/>
      <c r="DC68" s="139"/>
      <c r="DD68" s="139"/>
      <c r="DE68" s="139"/>
      <c r="DF68" s="139"/>
      <c r="DG68" s="139"/>
      <c r="DH68" s="139"/>
      <c r="DI68" s="139"/>
      <c r="DJ68" s="139"/>
      <c r="DK68" s="139"/>
      <c r="DL68" s="139"/>
      <c r="DM68" s="139"/>
      <c r="DN68" s="139"/>
      <c r="DO68" s="139"/>
      <c r="DP68" s="139"/>
      <c r="DQ68" s="139"/>
      <c r="DR68" s="139"/>
      <c r="DS68" s="139"/>
      <c r="DT68" s="139"/>
      <c r="DU68" s="139"/>
      <c r="DV68" s="139"/>
      <c r="DW68" s="139"/>
      <c r="DX68" s="139"/>
      <c r="DY68" s="139"/>
      <c r="DZ68" s="139"/>
      <c r="EA68" s="139"/>
      <c r="EB68" s="139"/>
      <c r="EC68" s="139"/>
      <c r="ED68" s="139"/>
      <c r="EE68" s="139"/>
      <c r="EF68" s="139"/>
      <c r="EG68" s="139"/>
      <c r="EH68" s="139"/>
      <c r="EI68" s="139"/>
      <c r="EJ68" s="139"/>
      <c r="EK68" s="139"/>
      <c r="EL68" s="139"/>
      <c r="EM68" s="139"/>
      <c r="EN68" s="139"/>
      <c r="EO68" s="139"/>
      <c r="EP68" s="139"/>
      <c r="EQ68" s="139"/>
      <c r="ER68" s="139"/>
      <c r="ES68" s="139"/>
      <c r="ET68" s="139"/>
      <c r="EU68" s="139"/>
      <c r="EV68" s="139"/>
      <c r="EW68" s="139"/>
      <c r="EX68" s="139"/>
      <c r="EY68" s="139"/>
      <c r="EZ68" s="139"/>
      <c r="FA68" s="139"/>
      <c r="FB68" s="139"/>
      <c r="FC68" s="139"/>
      <c r="FD68" s="139"/>
      <c r="FE68" s="139"/>
      <c r="FF68" s="139"/>
      <c r="FG68" s="139"/>
      <c r="FH68" s="139"/>
      <c r="FI68" s="139"/>
      <c r="FJ68" s="139"/>
      <c r="FK68" s="139"/>
      <c r="FL68" s="139"/>
      <c r="FM68" s="139"/>
      <c r="FN68" s="139"/>
      <c r="FO68" s="139"/>
      <c r="FP68" s="139"/>
      <c r="FQ68" s="139"/>
      <c r="FR68" s="139"/>
      <c r="FS68" s="139"/>
      <c r="FT68" s="139"/>
      <c r="FU68" s="139"/>
      <c r="FV68" s="139"/>
      <c r="FW68" s="139"/>
      <c r="FX68" s="139"/>
      <c r="FY68" s="139"/>
      <c r="FZ68" s="139"/>
      <c r="GA68" s="139"/>
      <c r="GB68" s="139"/>
      <c r="GC68" s="139"/>
      <c r="GD68" s="139"/>
      <c r="GE68" s="139"/>
      <c r="GF68" s="139"/>
      <c r="GG68" s="139"/>
      <c r="GH68" s="139"/>
      <c r="GI68" s="139"/>
      <c r="GJ68" s="139"/>
      <c r="GK68" s="139"/>
      <c r="GL68" s="139"/>
      <c r="GM68" s="139"/>
      <c r="GN68" s="139"/>
      <c r="GO68" s="139"/>
      <c r="GP68" s="139"/>
      <c r="GQ68" s="139"/>
      <c r="GR68" s="139"/>
      <c r="GS68" s="139"/>
      <c r="GT68" s="139"/>
      <c r="GU68" s="139"/>
      <c r="GV68" s="139"/>
      <c r="GW68" s="139"/>
      <c r="GX68" s="139"/>
      <c r="GY68" s="139"/>
      <c r="GZ68" s="139"/>
      <c r="HA68" s="139"/>
      <c r="HB68" s="139"/>
      <c r="HC68" s="139"/>
      <c r="HD68" s="139"/>
      <c r="HE68" s="139"/>
      <c r="HF68" s="139"/>
      <c r="HG68" s="139"/>
      <c r="HH68" s="139"/>
      <c r="HI68" s="139"/>
      <c r="HJ68" s="139"/>
      <c r="HK68" s="139"/>
      <c r="HL68" s="139"/>
      <c r="HM68" s="139"/>
      <c r="HN68" s="139"/>
      <c r="HO68" s="139"/>
      <c r="HP68" s="139"/>
      <c r="HQ68" s="139"/>
      <c r="HR68" s="139"/>
      <c r="HS68" s="139"/>
      <c r="HT68" s="139"/>
      <c r="HU68" s="139"/>
      <c r="HV68" s="139"/>
      <c r="HW68" s="139"/>
      <c r="HX68" s="139"/>
      <c r="HY68" s="139"/>
      <c r="HZ68" s="139"/>
      <c r="IA68" s="139"/>
      <c r="IB68" s="139"/>
      <c r="IC68" s="139"/>
      <c r="ID68" s="139"/>
      <c r="IE68" s="139"/>
      <c r="IF68" s="139"/>
      <c r="IG68" s="139"/>
      <c r="IH68" s="139"/>
      <c r="II68" s="139"/>
      <c r="IJ68" s="139"/>
      <c r="IK68" s="139"/>
      <c r="IL68" s="139"/>
      <c r="IM68" s="139"/>
      <c r="IN68" s="139"/>
    </row>
    <row r="69" spans="1:248" ht="12.75">
      <c r="A69" s="546"/>
      <c r="B69" s="139"/>
      <c r="C69" s="139"/>
      <c r="D69" s="560"/>
      <c r="E69" s="139"/>
      <c r="F69" s="139"/>
      <c r="G69" s="139"/>
      <c r="H69" s="139"/>
      <c r="I69" s="139"/>
      <c r="J69" s="139"/>
      <c r="K69" s="139"/>
      <c r="L69" s="139"/>
      <c r="M69" s="139"/>
      <c r="N69" s="139"/>
      <c r="O69" s="139"/>
      <c r="P69" s="139"/>
      <c r="Q69" s="553"/>
      <c r="R69" s="553"/>
      <c r="S69" s="553"/>
      <c r="T69" s="553"/>
      <c r="U69" s="553"/>
      <c r="V69" s="553"/>
      <c r="W69" s="553"/>
      <c r="X69" s="553"/>
      <c r="Y69" s="553"/>
      <c r="Z69" s="554"/>
      <c r="AA69" s="554"/>
      <c r="AB69" s="554"/>
      <c r="AC69" s="554"/>
      <c r="AD69" s="554"/>
      <c r="AE69" s="554"/>
      <c r="AF69" s="553"/>
      <c r="AG69" s="553"/>
      <c r="AH69" s="553"/>
      <c r="AI69" s="553"/>
      <c r="AJ69" s="553"/>
      <c r="AK69" s="553"/>
      <c r="AL69" s="553"/>
      <c r="AM69" s="553"/>
      <c r="AN69" s="553"/>
      <c r="AO69" s="553"/>
      <c r="AP69" s="553"/>
      <c r="AQ69" s="555"/>
      <c r="AR69" s="553"/>
      <c r="AS69" s="553"/>
      <c r="AT69" s="553"/>
      <c r="AU69" s="553"/>
      <c r="AV69" s="349"/>
      <c r="AW69" s="553"/>
      <c r="AX69" s="553"/>
      <c r="AY69" s="553"/>
      <c r="AZ69" s="553"/>
      <c r="BC69" s="349"/>
      <c r="BD69" s="139"/>
      <c r="BE69" s="139"/>
      <c r="BF69" s="553"/>
      <c r="BG69" s="553"/>
      <c r="BH69" s="553"/>
      <c r="BI69" s="553"/>
      <c r="BJ69" s="553"/>
      <c r="BK69" s="553"/>
      <c r="BL69" s="553"/>
      <c r="BM69" s="553"/>
      <c r="BN69" s="351"/>
      <c r="BO69" s="553"/>
      <c r="BP69" s="553"/>
      <c r="BQ69" s="553"/>
      <c r="BR69" s="553"/>
      <c r="BS69" s="553"/>
      <c r="BT69" s="553"/>
      <c r="BU69" s="553"/>
      <c r="BV69" s="553"/>
      <c r="BW69" s="553"/>
      <c r="BX69" s="553"/>
      <c r="BY69" s="553"/>
      <c r="BZ69" s="553"/>
      <c r="CA69" s="553"/>
      <c r="CB69" s="553"/>
      <c r="CC69" s="553"/>
      <c r="CD69" s="553"/>
      <c r="CE69" s="553"/>
      <c r="CF69" s="553"/>
      <c r="CG69" s="139"/>
      <c r="CH69" s="139"/>
      <c r="CI69" s="139"/>
      <c r="CJ69" s="139"/>
      <c r="CK69" s="139"/>
      <c r="CL69" s="139"/>
      <c r="CM69" s="139"/>
      <c r="CN69" s="139"/>
      <c r="CO69" s="139"/>
      <c r="CP69" s="139"/>
      <c r="CQ69" s="139"/>
      <c r="CR69" s="139"/>
      <c r="CS69" s="139"/>
      <c r="CT69" s="139"/>
      <c r="CU69" s="139"/>
      <c r="CV69" s="139"/>
      <c r="CW69" s="139"/>
      <c r="CX69" s="139"/>
      <c r="CY69" s="139"/>
      <c r="CZ69" s="139"/>
      <c r="DA69" s="139"/>
      <c r="DB69" s="139"/>
      <c r="DC69" s="139"/>
      <c r="DD69" s="139"/>
      <c r="DE69" s="139"/>
      <c r="DF69" s="139"/>
      <c r="DG69" s="139"/>
      <c r="DH69" s="139"/>
      <c r="DI69" s="139"/>
      <c r="DJ69" s="139"/>
      <c r="DK69" s="139"/>
      <c r="DL69" s="139"/>
      <c r="DM69" s="139"/>
      <c r="DN69" s="139"/>
      <c r="DO69" s="139"/>
      <c r="DP69" s="139"/>
      <c r="DQ69" s="139"/>
      <c r="DR69" s="139"/>
      <c r="DS69" s="139"/>
      <c r="DT69" s="139"/>
      <c r="DU69" s="139"/>
      <c r="DV69" s="139"/>
      <c r="DW69" s="139"/>
      <c r="DX69" s="139"/>
      <c r="DY69" s="139"/>
      <c r="DZ69" s="139"/>
      <c r="EA69" s="139"/>
      <c r="EB69" s="139"/>
      <c r="EC69" s="139"/>
      <c r="ED69" s="139"/>
      <c r="EE69" s="139"/>
      <c r="EF69" s="139"/>
      <c r="EG69" s="139"/>
      <c r="EH69" s="139"/>
      <c r="EI69" s="139"/>
      <c r="EJ69" s="139"/>
      <c r="EK69" s="139"/>
      <c r="EL69" s="139"/>
      <c r="EM69" s="139"/>
      <c r="EN69" s="139"/>
      <c r="EO69" s="139"/>
      <c r="EP69" s="139"/>
      <c r="EQ69" s="139"/>
      <c r="ER69" s="139"/>
      <c r="ES69" s="139"/>
      <c r="ET69" s="139"/>
      <c r="EU69" s="139"/>
      <c r="EV69" s="139"/>
      <c r="EW69" s="139"/>
      <c r="EX69" s="139"/>
      <c r="EY69" s="139"/>
      <c r="EZ69" s="139"/>
      <c r="FA69" s="139"/>
      <c r="FB69" s="139"/>
      <c r="FC69" s="139"/>
      <c r="FD69" s="139"/>
      <c r="FE69" s="139"/>
      <c r="FF69" s="139"/>
      <c r="FG69" s="139"/>
      <c r="FH69" s="139"/>
      <c r="FI69" s="139"/>
      <c r="FJ69" s="139"/>
      <c r="FK69" s="139"/>
      <c r="FL69" s="139"/>
      <c r="FM69" s="139"/>
      <c r="FN69" s="139"/>
      <c r="FO69" s="139"/>
      <c r="FP69" s="139"/>
      <c r="FQ69" s="139"/>
      <c r="FR69" s="139"/>
      <c r="FS69" s="139"/>
      <c r="FT69" s="139"/>
      <c r="FU69" s="139"/>
      <c r="FV69" s="139"/>
      <c r="FW69" s="139"/>
      <c r="FX69" s="139"/>
      <c r="FY69" s="139"/>
      <c r="FZ69" s="139"/>
      <c r="GA69" s="139"/>
      <c r="GB69" s="139"/>
      <c r="GC69" s="139"/>
      <c r="GD69" s="139"/>
      <c r="GE69" s="139"/>
      <c r="GF69" s="139"/>
      <c r="GG69" s="139"/>
      <c r="GH69" s="139"/>
      <c r="GI69" s="139"/>
      <c r="GJ69" s="139"/>
      <c r="GK69" s="139"/>
      <c r="GL69" s="139"/>
      <c r="GM69" s="139"/>
      <c r="GN69" s="139"/>
      <c r="GO69" s="139"/>
      <c r="GP69" s="139"/>
      <c r="GQ69" s="139"/>
      <c r="GR69" s="139"/>
      <c r="GS69" s="139"/>
      <c r="GT69" s="139"/>
      <c r="GU69" s="139"/>
      <c r="GV69" s="139"/>
      <c r="GW69" s="139"/>
      <c r="GX69" s="139"/>
      <c r="GY69" s="139"/>
      <c r="GZ69" s="139"/>
      <c r="HA69" s="139"/>
      <c r="HB69" s="139"/>
      <c r="HC69" s="139"/>
      <c r="HD69" s="139"/>
      <c r="HE69" s="139"/>
      <c r="HF69" s="139"/>
      <c r="HG69" s="139"/>
      <c r="HH69" s="139"/>
      <c r="HI69" s="139"/>
      <c r="HJ69" s="139"/>
      <c r="HK69" s="139"/>
      <c r="HL69" s="139"/>
      <c r="HM69" s="139"/>
      <c r="HN69" s="139"/>
      <c r="HO69" s="139"/>
      <c r="HP69" s="139"/>
      <c r="HQ69" s="139"/>
      <c r="HR69" s="139"/>
      <c r="HS69" s="139"/>
      <c r="HT69" s="139"/>
      <c r="HU69" s="139"/>
      <c r="HV69" s="139"/>
      <c r="HW69" s="139"/>
      <c r="HX69" s="139"/>
      <c r="HY69" s="139"/>
      <c r="HZ69" s="139"/>
      <c r="IA69" s="139"/>
      <c r="IB69" s="139"/>
      <c r="IC69" s="139"/>
      <c r="ID69" s="139"/>
      <c r="IE69" s="139"/>
      <c r="IF69" s="139"/>
      <c r="IG69" s="139"/>
      <c r="IH69" s="139"/>
      <c r="II69" s="139"/>
      <c r="IJ69" s="139"/>
      <c r="IK69" s="139"/>
      <c r="IL69" s="139"/>
      <c r="IM69" s="139"/>
      <c r="IN69" s="139"/>
    </row>
    <row r="70" spans="1:248" ht="12.75">
      <c r="A70" s="546"/>
      <c r="B70" s="139"/>
      <c r="C70" s="139"/>
      <c r="D70" s="560"/>
      <c r="E70" s="139"/>
      <c r="F70" s="139"/>
      <c r="G70" s="139"/>
      <c r="H70" s="139"/>
      <c r="I70" s="139"/>
      <c r="J70" s="139"/>
      <c r="K70" s="139"/>
      <c r="L70" s="139"/>
      <c r="M70" s="139"/>
      <c r="N70" s="139"/>
      <c r="O70" s="139"/>
      <c r="P70" s="139"/>
      <c r="Q70" s="553"/>
      <c r="R70" s="553"/>
      <c r="S70" s="553"/>
      <c r="T70" s="553"/>
      <c r="U70" s="553"/>
      <c r="V70" s="553"/>
      <c r="W70" s="553"/>
      <c r="X70" s="553"/>
      <c r="Y70" s="553"/>
      <c r="Z70" s="554"/>
      <c r="AA70" s="554"/>
      <c r="AB70" s="554"/>
      <c r="AC70" s="554"/>
      <c r="AD70" s="554"/>
      <c r="AE70" s="554"/>
      <c r="AF70" s="553"/>
      <c r="AG70" s="553"/>
      <c r="AH70" s="553"/>
      <c r="AI70" s="553"/>
      <c r="AJ70" s="553"/>
      <c r="AK70" s="553"/>
      <c r="AL70" s="553"/>
      <c r="AM70" s="553"/>
      <c r="AN70" s="553"/>
      <c r="AO70" s="553"/>
      <c r="AP70" s="553"/>
      <c r="AQ70" s="555"/>
      <c r="AR70" s="553"/>
      <c r="AS70" s="553"/>
      <c r="AT70" s="553"/>
      <c r="AU70" s="553"/>
      <c r="AV70" s="349"/>
      <c r="AW70" s="553"/>
      <c r="AX70" s="553"/>
      <c r="AY70" s="553"/>
      <c r="AZ70" s="553"/>
      <c r="BA70" s="561"/>
      <c r="BB70" s="561"/>
      <c r="BC70" s="561"/>
      <c r="BD70" s="139"/>
      <c r="BE70" s="139"/>
      <c r="BF70" s="553"/>
      <c r="BG70" s="553"/>
      <c r="BH70" s="553"/>
      <c r="BI70" s="553"/>
      <c r="BJ70" s="553"/>
      <c r="BK70" s="553"/>
      <c r="BL70" s="553"/>
      <c r="BM70" s="553"/>
      <c r="BN70" s="351"/>
      <c r="BO70" s="553"/>
      <c r="BP70" s="553"/>
      <c r="BQ70" s="553"/>
      <c r="BR70" s="553"/>
      <c r="BS70" s="553"/>
      <c r="BT70" s="553"/>
      <c r="BU70" s="553"/>
      <c r="BV70" s="553"/>
      <c r="BW70" s="553"/>
      <c r="BX70" s="553"/>
      <c r="BY70" s="553"/>
      <c r="BZ70" s="553"/>
      <c r="CA70" s="553"/>
      <c r="CB70" s="553"/>
      <c r="CC70" s="553"/>
      <c r="CD70" s="553"/>
      <c r="CE70" s="553"/>
      <c r="CF70" s="553"/>
      <c r="CG70" s="139"/>
      <c r="CH70" s="139"/>
      <c r="CI70" s="139"/>
      <c r="CJ70" s="139"/>
      <c r="CK70" s="139"/>
      <c r="CL70" s="139"/>
      <c r="CM70" s="139"/>
      <c r="CN70" s="139"/>
      <c r="CO70" s="139"/>
      <c r="CP70" s="139"/>
      <c r="CQ70" s="139"/>
      <c r="CR70" s="139"/>
      <c r="CS70" s="139"/>
      <c r="CT70" s="139"/>
      <c r="CU70" s="139"/>
      <c r="CV70" s="139"/>
      <c r="CW70" s="139"/>
      <c r="CX70" s="139"/>
      <c r="CY70" s="139"/>
      <c r="CZ70" s="139"/>
      <c r="DA70" s="139"/>
      <c r="DB70" s="139"/>
      <c r="DC70" s="139"/>
      <c r="DD70" s="139"/>
      <c r="DE70" s="139"/>
      <c r="DF70" s="139"/>
      <c r="DG70" s="139"/>
      <c r="DH70" s="139"/>
      <c r="DI70" s="139"/>
      <c r="DJ70" s="139"/>
      <c r="DK70" s="139"/>
      <c r="DL70" s="139"/>
      <c r="DM70" s="139"/>
      <c r="DN70" s="139"/>
      <c r="DO70" s="139"/>
      <c r="DP70" s="139"/>
      <c r="DQ70" s="139"/>
      <c r="DR70" s="139"/>
      <c r="DS70" s="139"/>
      <c r="DT70" s="139"/>
      <c r="DU70" s="139"/>
      <c r="DV70" s="139"/>
      <c r="DW70" s="139"/>
      <c r="DX70" s="139"/>
      <c r="DY70" s="139"/>
      <c r="DZ70" s="139"/>
      <c r="EA70" s="139"/>
      <c r="EB70" s="139"/>
      <c r="EC70" s="139"/>
      <c r="ED70" s="139"/>
      <c r="EE70" s="139"/>
      <c r="EF70" s="139"/>
      <c r="EG70" s="139"/>
      <c r="EH70" s="139"/>
      <c r="EI70" s="139"/>
      <c r="EJ70" s="139"/>
      <c r="EK70" s="139"/>
      <c r="EL70" s="139"/>
      <c r="EM70" s="139"/>
      <c r="EN70" s="139"/>
      <c r="EO70" s="139"/>
      <c r="EP70" s="139"/>
      <c r="EQ70" s="139"/>
      <c r="ER70" s="139"/>
      <c r="ES70" s="139"/>
      <c r="ET70" s="139"/>
      <c r="EU70" s="139"/>
      <c r="EV70" s="139"/>
      <c r="EW70" s="139"/>
      <c r="EX70" s="139"/>
      <c r="EY70" s="139"/>
      <c r="EZ70" s="139"/>
      <c r="FA70" s="139"/>
      <c r="FB70" s="139"/>
      <c r="FC70" s="139"/>
      <c r="FD70" s="139"/>
      <c r="FE70" s="139"/>
      <c r="FF70" s="139"/>
      <c r="FG70" s="139"/>
      <c r="FH70" s="139"/>
      <c r="FI70" s="139"/>
      <c r="FJ70" s="139"/>
      <c r="FK70" s="139"/>
      <c r="FL70" s="139"/>
      <c r="FM70" s="139"/>
      <c r="FN70" s="139"/>
      <c r="FO70" s="139"/>
      <c r="FP70" s="139"/>
      <c r="FQ70" s="139"/>
      <c r="FR70" s="139"/>
      <c r="FS70" s="139"/>
      <c r="FT70" s="139"/>
      <c r="FU70" s="139"/>
      <c r="FV70" s="139"/>
      <c r="FW70" s="139"/>
      <c r="FX70" s="139"/>
      <c r="FY70" s="139"/>
      <c r="FZ70" s="139"/>
      <c r="GA70" s="139"/>
      <c r="GB70" s="139"/>
      <c r="GC70" s="139"/>
      <c r="GD70" s="139"/>
      <c r="GE70" s="139"/>
      <c r="GF70" s="139"/>
      <c r="GG70" s="139"/>
      <c r="GH70" s="139"/>
      <c r="GI70" s="139"/>
      <c r="GJ70" s="139"/>
      <c r="GK70" s="139"/>
      <c r="GL70" s="139"/>
      <c r="GM70" s="139"/>
      <c r="GN70" s="139"/>
      <c r="GO70" s="139"/>
      <c r="GP70" s="139"/>
      <c r="GQ70" s="139"/>
      <c r="GR70" s="139"/>
      <c r="GS70" s="139"/>
      <c r="GT70" s="139"/>
      <c r="GU70" s="139"/>
      <c r="GV70" s="139"/>
      <c r="GW70" s="139"/>
      <c r="GX70" s="139"/>
      <c r="GY70" s="139"/>
      <c r="GZ70" s="139"/>
      <c r="HA70" s="139"/>
      <c r="HB70" s="139"/>
      <c r="HC70" s="139"/>
      <c r="HD70" s="139"/>
      <c r="HE70" s="139"/>
      <c r="HF70" s="139"/>
      <c r="HG70" s="139"/>
      <c r="HH70" s="139"/>
      <c r="HI70" s="139"/>
      <c r="HJ70" s="139"/>
      <c r="HK70" s="139"/>
      <c r="HL70" s="139"/>
      <c r="HM70" s="139"/>
      <c r="HN70" s="139"/>
      <c r="HO70" s="139"/>
      <c r="HP70" s="139"/>
      <c r="HQ70" s="139"/>
      <c r="HR70" s="139"/>
      <c r="HS70" s="139"/>
      <c r="HT70" s="139"/>
      <c r="HU70" s="139"/>
      <c r="HV70" s="139"/>
      <c r="HW70" s="139"/>
      <c r="HX70" s="139"/>
      <c r="HY70" s="139"/>
      <c r="HZ70" s="139"/>
      <c r="IA70" s="139"/>
      <c r="IB70" s="139"/>
      <c r="IC70" s="139"/>
      <c r="ID70" s="139"/>
      <c r="IE70" s="139"/>
      <c r="IF70" s="139"/>
      <c r="IG70" s="139"/>
      <c r="IH70" s="139"/>
      <c r="II70" s="139"/>
      <c r="IJ70" s="139"/>
      <c r="IK70" s="139"/>
      <c r="IL70" s="139"/>
      <c r="IM70" s="139"/>
      <c r="IN70" s="139"/>
    </row>
    <row r="71" spans="1:248" ht="12.75">
      <c r="A71" s="546"/>
      <c r="B71" s="139"/>
      <c r="C71" s="139"/>
      <c r="D71" s="560"/>
      <c r="E71" s="139"/>
      <c r="F71" s="139"/>
      <c r="G71" s="139"/>
      <c r="H71" s="139"/>
      <c r="I71" s="139"/>
      <c r="J71" s="139"/>
      <c r="K71" s="139"/>
      <c r="L71" s="139"/>
      <c r="M71" s="139"/>
      <c r="N71" s="139"/>
      <c r="O71" s="139"/>
      <c r="P71" s="139"/>
      <c r="Q71" s="553"/>
      <c r="R71" s="553"/>
      <c r="S71" s="553"/>
      <c r="T71" s="553"/>
      <c r="U71" s="553"/>
      <c r="V71" s="553"/>
      <c r="W71" s="553"/>
      <c r="X71" s="553"/>
      <c r="Y71" s="553"/>
      <c r="Z71" s="554"/>
      <c r="AA71" s="554"/>
      <c r="AB71" s="554"/>
      <c r="AC71" s="554"/>
      <c r="AD71" s="554"/>
      <c r="AE71" s="554"/>
      <c r="AF71" s="553"/>
      <c r="AG71" s="553"/>
      <c r="AH71" s="553"/>
      <c r="AI71" s="553"/>
      <c r="AJ71" s="553"/>
      <c r="AK71" s="553"/>
      <c r="AL71" s="553"/>
      <c r="AM71" s="553"/>
      <c r="AN71" s="553"/>
      <c r="AO71" s="553"/>
      <c r="AP71" s="553"/>
      <c r="AQ71" s="555"/>
      <c r="AR71" s="553"/>
      <c r="AS71" s="553"/>
      <c r="AT71" s="553"/>
      <c r="AU71" s="553"/>
      <c r="AV71" s="553"/>
      <c r="AW71" s="553"/>
      <c r="AX71" s="553"/>
      <c r="AY71" s="553"/>
      <c r="AZ71" s="553"/>
      <c r="BA71" s="561"/>
      <c r="BB71" s="561"/>
      <c r="BC71" s="561"/>
      <c r="BD71" s="139"/>
      <c r="BE71" s="139"/>
      <c r="BF71" s="553"/>
      <c r="BG71" s="553"/>
      <c r="BH71" s="553"/>
      <c r="BI71" s="553"/>
      <c r="BJ71" s="553"/>
      <c r="BK71" s="553"/>
      <c r="BL71" s="553"/>
      <c r="BM71" s="553"/>
      <c r="BN71" s="351"/>
      <c r="BO71" s="553"/>
      <c r="BP71" s="553"/>
      <c r="BQ71" s="553"/>
      <c r="BR71" s="553"/>
      <c r="BS71" s="553"/>
      <c r="BT71" s="553"/>
      <c r="BU71" s="553"/>
      <c r="BV71" s="553"/>
      <c r="BW71" s="553"/>
      <c r="BX71" s="553"/>
      <c r="BY71" s="553"/>
      <c r="BZ71" s="553"/>
      <c r="CA71" s="553"/>
      <c r="CB71" s="553"/>
      <c r="CC71" s="553"/>
      <c r="CD71" s="553"/>
      <c r="CE71" s="553"/>
      <c r="CF71" s="553"/>
      <c r="CG71" s="139"/>
      <c r="CH71" s="139"/>
      <c r="CI71" s="139"/>
      <c r="CJ71" s="139"/>
      <c r="CK71" s="139"/>
      <c r="CL71" s="139"/>
      <c r="CM71" s="139"/>
      <c r="CN71" s="139"/>
      <c r="CO71" s="139"/>
      <c r="CP71" s="139"/>
      <c r="CQ71" s="139"/>
      <c r="CR71" s="139"/>
      <c r="CS71" s="139"/>
      <c r="CT71" s="139"/>
      <c r="CU71" s="139"/>
      <c r="CV71" s="139"/>
      <c r="CW71" s="139"/>
      <c r="CX71" s="139"/>
      <c r="CY71" s="139"/>
      <c r="CZ71" s="139"/>
      <c r="DA71" s="139"/>
      <c r="DB71" s="139"/>
      <c r="DC71" s="139"/>
      <c r="DD71" s="139"/>
      <c r="DE71" s="139"/>
      <c r="DF71" s="139"/>
      <c r="DG71" s="139"/>
      <c r="DH71" s="139"/>
      <c r="DI71" s="139"/>
      <c r="DJ71" s="139"/>
      <c r="DK71" s="139"/>
      <c r="DL71" s="139"/>
      <c r="DM71" s="139"/>
      <c r="DN71" s="139"/>
      <c r="DO71" s="139"/>
      <c r="DP71" s="139"/>
      <c r="DQ71" s="139"/>
      <c r="DR71" s="139"/>
      <c r="DS71" s="139"/>
      <c r="DT71" s="139"/>
      <c r="DU71" s="139"/>
      <c r="DV71" s="139"/>
      <c r="DW71" s="139"/>
      <c r="DX71" s="139"/>
      <c r="DY71" s="139"/>
      <c r="DZ71" s="139"/>
      <c r="EA71" s="139"/>
      <c r="EB71" s="139"/>
      <c r="EC71" s="139"/>
      <c r="ED71" s="139"/>
      <c r="EE71" s="139"/>
      <c r="EF71" s="139"/>
      <c r="EG71" s="139"/>
      <c r="EH71" s="139"/>
      <c r="EI71" s="139"/>
      <c r="EJ71" s="139"/>
      <c r="EK71" s="139"/>
      <c r="EL71" s="139"/>
      <c r="EM71" s="139"/>
      <c r="EN71" s="139"/>
      <c r="EO71" s="139"/>
      <c r="EP71" s="139"/>
      <c r="EQ71" s="139"/>
      <c r="ER71" s="139"/>
      <c r="ES71" s="139"/>
      <c r="ET71" s="139"/>
      <c r="EU71" s="139"/>
      <c r="EV71" s="139"/>
      <c r="EW71" s="139"/>
      <c r="EX71" s="139"/>
      <c r="EY71" s="139"/>
      <c r="EZ71" s="139"/>
      <c r="FA71" s="139"/>
      <c r="FB71" s="139"/>
      <c r="FC71" s="139"/>
      <c r="FD71" s="139"/>
      <c r="FE71" s="139"/>
      <c r="FF71" s="139"/>
      <c r="FG71" s="139"/>
      <c r="FH71" s="139"/>
      <c r="FI71" s="139"/>
      <c r="FJ71" s="139"/>
      <c r="FK71" s="139"/>
      <c r="FL71" s="139"/>
      <c r="FM71" s="139"/>
      <c r="FN71" s="139"/>
      <c r="FO71" s="139"/>
      <c r="FP71" s="139"/>
      <c r="FQ71" s="139"/>
      <c r="FR71" s="139"/>
      <c r="FS71" s="139"/>
      <c r="FT71" s="139"/>
      <c r="FU71" s="139"/>
      <c r="FV71" s="139"/>
      <c r="FW71" s="139"/>
      <c r="FX71" s="139"/>
      <c r="FY71" s="139"/>
      <c r="FZ71" s="139"/>
      <c r="GA71" s="139"/>
      <c r="GB71" s="139"/>
      <c r="GC71" s="139"/>
      <c r="GD71" s="139"/>
      <c r="GE71" s="139"/>
      <c r="GF71" s="139"/>
      <c r="GG71" s="139"/>
      <c r="GH71" s="139"/>
      <c r="GI71" s="139"/>
      <c r="GJ71" s="139"/>
      <c r="GK71" s="139"/>
      <c r="GL71" s="139"/>
      <c r="GM71" s="139"/>
      <c r="GN71" s="139"/>
      <c r="GO71" s="139"/>
      <c r="GP71" s="139"/>
      <c r="GQ71" s="139"/>
      <c r="GR71" s="139"/>
      <c r="GS71" s="139"/>
      <c r="GT71" s="139"/>
      <c r="GU71" s="139"/>
      <c r="GV71" s="139"/>
      <c r="GW71" s="139"/>
      <c r="GX71" s="139"/>
      <c r="GY71" s="139"/>
      <c r="GZ71" s="139"/>
      <c r="HA71" s="139"/>
      <c r="HB71" s="139"/>
      <c r="HC71" s="139"/>
      <c r="HD71" s="139"/>
      <c r="HE71" s="139"/>
      <c r="HF71" s="139"/>
      <c r="HG71" s="139"/>
      <c r="HH71" s="139"/>
      <c r="HI71" s="139"/>
      <c r="HJ71" s="139"/>
      <c r="HK71" s="139"/>
      <c r="HL71" s="139"/>
      <c r="HM71" s="139"/>
      <c r="HN71" s="139"/>
      <c r="HO71" s="139"/>
      <c r="HP71" s="139"/>
      <c r="HQ71" s="139"/>
      <c r="HR71" s="139"/>
      <c r="HS71" s="139"/>
      <c r="HT71" s="139"/>
      <c r="HU71" s="139"/>
      <c r="HV71" s="139"/>
      <c r="HW71" s="139"/>
      <c r="HX71" s="139"/>
      <c r="HY71" s="139"/>
      <c r="HZ71" s="139"/>
      <c r="IA71" s="139"/>
      <c r="IB71" s="139"/>
      <c r="IC71" s="139"/>
      <c r="ID71" s="139"/>
      <c r="IE71" s="139"/>
      <c r="IF71" s="139"/>
      <c r="IG71" s="139"/>
      <c r="IH71" s="139"/>
      <c r="II71" s="139"/>
      <c r="IJ71" s="139"/>
      <c r="IK71" s="139"/>
      <c r="IL71" s="139"/>
      <c r="IM71" s="139"/>
      <c r="IN71" s="139"/>
    </row>
    <row r="72" spans="1:248" ht="12.75">
      <c r="A72" s="546"/>
      <c r="B72" s="139"/>
      <c r="C72" s="139"/>
      <c r="D72" s="552"/>
      <c r="E72" s="139"/>
      <c r="F72" s="139"/>
      <c r="G72" s="139"/>
      <c r="H72" s="139"/>
      <c r="I72" s="139"/>
      <c r="J72" s="139"/>
      <c r="K72" s="139"/>
      <c r="L72" s="139"/>
      <c r="M72" s="139"/>
      <c r="N72" s="139"/>
      <c r="O72" s="139"/>
      <c r="P72" s="139"/>
      <c r="Q72" s="553"/>
      <c r="R72" s="553"/>
      <c r="S72" s="553"/>
      <c r="T72" s="553"/>
      <c r="U72" s="553"/>
      <c r="V72" s="553"/>
      <c r="W72" s="553"/>
      <c r="X72" s="553"/>
      <c r="Y72" s="553"/>
      <c r="Z72" s="554"/>
      <c r="AA72" s="554"/>
      <c r="AB72" s="554"/>
      <c r="AC72" s="554"/>
      <c r="AD72" s="554"/>
      <c r="AE72" s="554"/>
      <c r="AF72" s="553"/>
      <c r="AG72" s="553"/>
      <c r="AH72" s="553"/>
      <c r="AI72" s="553"/>
      <c r="AJ72" s="553"/>
      <c r="AK72" s="553"/>
      <c r="AL72" s="553"/>
      <c r="AM72" s="553"/>
      <c r="AN72" s="553"/>
      <c r="AO72" s="553"/>
      <c r="AP72" s="553"/>
      <c r="AQ72" s="555"/>
      <c r="AR72" s="553"/>
      <c r="AS72" s="553"/>
      <c r="AT72" s="553"/>
      <c r="AU72" s="553"/>
      <c r="AV72" s="553"/>
      <c r="AW72" s="553"/>
      <c r="AX72" s="553"/>
      <c r="AY72" s="553"/>
      <c r="AZ72" s="553"/>
      <c r="BA72" s="556"/>
      <c r="BB72" s="556"/>
      <c r="BC72" s="556"/>
      <c r="BD72" s="139"/>
      <c r="BE72" s="139"/>
      <c r="BF72" s="553"/>
      <c r="BG72" s="553"/>
      <c r="BH72" s="553"/>
      <c r="BI72" s="553"/>
      <c r="BJ72" s="553"/>
      <c r="BK72" s="553"/>
      <c r="BL72" s="553"/>
      <c r="BM72" s="553"/>
      <c r="BN72" s="351"/>
      <c r="BO72" s="553"/>
      <c r="BP72" s="553"/>
      <c r="BQ72" s="553"/>
      <c r="BR72" s="553"/>
      <c r="BS72" s="553"/>
      <c r="BT72" s="553"/>
      <c r="BU72" s="553"/>
      <c r="BV72" s="553"/>
      <c r="BW72" s="553"/>
      <c r="BX72" s="553"/>
      <c r="BY72" s="553"/>
      <c r="BZ72" s="553"/>
      <c r="CA72" s="553"/>
      <c r="CB72" s="553"/>
      <c r="CC72" s="553"/>
      <c r="CD72" s="553"/>
      <c r="CE72" s="553"/>
      <c r="CF72" s="553"/>
      <c r="CG72" s="139"/>
      <c r="CH72" s="139"/>
      <c r="CI72" s="139"/>
      <c r="CJ72" s="139"/>
      <c r="CK72" s="139"/>
      <c r="CL72" s="139"/>
      <c r="CM72" s="139"/>
      <c r="CN72" s="139"/>
      <c r="CO72" s="139"/>
      <c r="CP72" s="139"/>
      <c r="CQ72" s="139"/>
      <c r="CR72" s="139"/>
      <c r="CS72" s="139"/>
      <c r="CT72" s="139"/>
      <c r="CU72" s="139"/>
      <c r="CV72" s="139"/>
      <c r="CW72" s="139"/>
      <c r="CX72" s="139"/>
      <c r="CY72" s="139"/>
      <c r="CZ72" s="139"/>
      <c r="DA72" s="139"/>
      <c r="DB72" s="139"/>
      <c r="DC72" s="139"/>
      <c r="DD72" s="139"/>
      <c r="DE72" s="139"/>
      <c r="DF72" s="139"/>
      <c r="DG72" s="139"/>
      <c r="DH72" s="139"/>
      <c r="DI72" s="139"/>
      <c r="DJ72" s="139"/>
      <c r="DK72" s="139"/>
      <c r="DL72" s="139"/>
      <c r="DM72" s="139"/>
      <c r="DN72" s="139"/>
      <c r="DO72" s="139"/>
      <c r="DP72" s="139"/>
      <c r="DQ72" s="139"/>
      <c r="DR72" s="139"/>
      <c r="DS72" s="139"/>
      <c r="DT72" s="139"/>
      <c r="DU72" s="139"/>
      <c r="DV72" s="139"/>
      <c r="DW72" s="139"/>
      <c r="DX72" s="139"/>
      <c r="DY72" s="139"/>
      <c r="DZ72" s="139"/>
      <c r="EA72" s="139"/>
      <c r="EB72" s="139"/>
      <c r="EC72" s="139"/>
      <c r="ED72" s="139"/>
      <c r="EE72" s="139"/>
      <c r="EF72" s="139"/>
      <c r="EG72" s="139"/>
      <c r="EH72" s="139"/>
      <c r="EI72" s="139"/>
      <c r="EJ72" s="139"/>
      <c r="EK72" s="139"/>
      <c r="EL72" s="139"/>
      <c r="EM72" s="139"/>
      <c r="EN72" s="139"/>
      <c r="EO72" s="139"/>
      <c r="EP72" s="139"/>
      <c r="EQ72" s="139"/>
      <c r="ER72" s="139"/>
      <c r="ES72" s="139"/>
      <c r="ET72" s="139"/>
      <c r="EU72" s="139"/>
      <c r="EV72" s="139"/>
      <c r="EW72" s="139"/>
      <c r="EX72" s="139"/>
      <c r="EY72" s="139"/>
      <c r="EZ72" s="139"/>
      <c r="FA72" s="139"/>
      <c r="FB72" s="139"/>
      <c r="FC72" s="139"/>
      <c r="FD72" s="139"/>
      <c r="FE72" s="139"/>
      <c r="FF72" s="139"/>
      <c r="FG72" s="139"/>
      <c r="FH72" s="139"/>
      <c r="FI72" s="139"/>
      <c r="FJ72" s="139"/>
      <c r="FK72" s="139"/>
      <c r="FL72" s="139"/>
      <c r="FM72" s="139"/>
      <c r="FN72" s="139"/>
      <c r="FO72" s="139"/>
      <c r="FP72" s="139"/>
      <c r="FQ72" s="139"/>
      <c r="FR72" s="139"/>
      <c r="FS72" s="139"/>
      <c r="FT72" s="139"/>
      <c r="FU72" s="139"/>
      <c r="FV72" s="139"/>
      <c r="FW72" s="139"/>
      <c r="FX72" s="139"/>
      <c r="FY72" s="139"/>
      <c r="FZ72" s="139"/>
      <c r="GA72" s="139"/>
      <c r="GB72" s="139"/>
      <c r="GC72" s="139"/>
      <c r="GD72" s="139"/>
      <c r="GE72" s="139"/>
      <c r="GF72" s="139"/>
      <c r="GG72" s="139"/>
      <c r="GH72" s="139"/>
      <c r="GI72" s="139"/>
      <c r="GJ72" s="139"/>
      <c r="GK72" s="139"/>
      <c r="GL72" s="139"/>
      <c r="GM72" s="139"/>
      <c r="GN72" s="139"/>
      <c r="GO72" s="139"/>
      <c r="GP72" s="139"/>
      <c r="GQ72" s="139"/>
      <c r="GR72" s="139"/>
      <c r="GS72" s="139"/>
      <c r="GT72" s="139"/>
      <c r="GU72" s="139"/>
      <c r="GV72" s="139"/>
      <c r="GW72" s="139"/>
      <c r="GX72" s="139"/>
      <c r="GY72" s="139"/>
      <c r="GZ72" s="139"/>
      <c r="HA72" s="139"/>
      <c r="HB72" s="139"/>
      <c r="HC72" s="139"/>
      <c r="HD72" s="139"/>
      <c r="HE72" s="139"/>
      <c r="HF72" s="139"/>
      <c r="HG72" s="139"/>
      <c r="HH72" s="139"/>
      <c r="HI72" s="139"/>
      <c r="HJ72" s="139"/>
      <c r="HK72" s="139"/>
      <c r="HL72" s="139"/>
      <c r="HM72" s="139"/>
      <c r="HN72" s="139"/>
      <c r="HO72" s="139"/>
      <c r="HP72" s="139"/>
      <c r="HQ72" s="139"/>
      <c r="HR72" s="139"/>
      <c r="HS72" s="139"/>
      <c r="HT72" s="139"/>
      <c r="HU72" s="139"/>
      <c r="HV72" s="139"/>
      <c r="HW72" s="139"/>
      <c r="HX72" s="139"/>
      <c r="HY72" s="139"/>
      <c r="HZ72" s="139"/>
      <c r="IA72" s="139"/>
      <c r="IB72" s="139"/>
      <c r="IC72" s="139"/>
      <c r="ID72" s="139"/>
      <c r="IE72" s="139"/>
      <c r="IF72" s="139"/>
      <c r="IG72" s="139"/>
      <c r="IH72" s="139"/>
      <c r="II72" s="139"/>
      <c r="IJ72" s="139"/>
      <c r="IK72" s="139"/>
      <c r="IL72" s="139"/>
      <c r="IM72" s="139"/>
      <c r="IN72" s="139"/>
    </row>
    <row r="73" spans="1:248" ht="12.75">
      <c r="A73" s="546"/>
      <c r="B73" s="139"/>
      <c r="C73" s="139"/>
      <c r="D73" s="552"/>
      <c r="E73" s="139"/>
      <c r="F73" s="139"/>
      <c r="G73" s="139"/>
      <c r="H73" s="139"/>
      <c r="I73" s="139"/>
      <c r="J73" s="139"/>
      <c r="K73" s="139"/>
      <c r="L73" s="139"/>
      <c r="M73" s="139"/>
      <c r="N73" s="139"/>
      <c r="O73" s="139"/>
      <c r="P73" s="139"/>
      <c r="Q73" s="553"/>
      <c r="R73" s="553"/>
      <c r="S73" s="553"/>
      <c r="T73" s="553"/>
      <c r="U73" s="553"/>
      <c r="V73" s="553"/>
      <c r="W73" s="553"/>
      <c r="X73" s="553"/>
      <c r="Y73" s="553"/>
      <c r="Z73" s="554"/>
      <c r="AA73" s="554"/>
      <c r="AB73" s="554"/>
      <c r="AC73" s="554"/>
      <c r="AD73" s="554"/>
      <c r="AE73" s="554"/>
      <c r="AF73" s="553"/>
      <c r="AG73" s="553"/>
      <c r="AH73" s="553"/>
      <c r="AI73" s="553"/>
      <c r="AJ73" s="553"/>
      <c r="AK73" s="553"/>
      <c r="AL73" s="553"/>
      <c r="AM73" s="553"/>
      <c r="AN73" s="553"/>
      <c r="AO73" s="553"/>
      <c r="AP73" s="553"/>
      <c r="AQ73" s="555"/>
      <c r="AR73" s="553"/>
      <c r="AS73" s="553"/>
      <c r="AT73" s="553"/>
      <c r="AU73" s="553"/>
      <c r="AV73" s="553"/>
      <c r="AW73" s="553"/>
      <c r="AX73" s="553"/>
      <c r="AY73" s="553"/>
      <c r="AZ73" s="553"/>
      <c r="BA73" s="561"/>
      <c r="BB73" s="561"/>
      <c r="BC73" s="561"/>
      <c r="BD73" s="139"/>
      <c r="BE73" s="139"/>
      <c r="BF73" s="553"/>
      <c r="BG73" s="553"/>
      <c r="BH73" s="553"/>
      <c r="BI73" s="553"/>
      <c r="BJ73" s="553"/>
      <c r="BK73" s="553"/>
      <c r="BL73" s="553"/>
      <c r="BM73" s="553"/>
      <c r="BN73" s="351"/>
      <c r="BO73" s="553"/>
      <c r="BP73" s="553"/>
      <c r="BQ73" s="553"/>
      <c r="BR73" s="553"/>
      <c r="BS73" s="553"/>
      <c r="BT73" s="553"/>
      <c r="BU73" s="553"/>
      <c r="BV73" s="553"/>
      <c r="BW73" s="553"/>
      <c r="BX73" s="553"/>
      <c r="BY73" s="553"/>
      <c r="BZ73" s="553"/>
      <c r="CA73" s="553"/>
      <c r="CB73" s="553"/>
      <c r="CC73" s="553"/>
      <c r="CD73" s="553"/>
      <c r="CE73" s="553"/>
      <c r="CF73" s="553"/>
      <c r="CG73" s="139"/>
      <c r="CH73" s="139"/>
      <c r="CI73" s="139"/>
      <c r="CJ73" s="139"/>
      <c r="CK73" s="139"/>
      <c r="CL73" s="139"/>
      <c r="CM73" s="139"/>
      <c r="CN73" s="139"/>
      <c r="CO73" s="139"/>
      <c r="CP73" s="139"/>
      <c r="CQ73" s="139"/>
      <c r="CR73" s="139"/>
      <c r="CS73" s="139"/>
      <c r="CT73" s="139"/>
      <c r="CU73" s="139"/>
      <c r="CV73" s="139"/>
      <c r="CW73" s="139"/>
      <c r="CX73" s="139"/>
      <c r="CY73" s="139"/>
      <c r="CZ73" s="139"/>
      <c r="DA73" s="139"/>
      <c r="DB73" s="139"/>
      <c r="DC73" s="139"/>
      <c r="DD73" s="139"/>
      <c r="DE73" s="139"/>
      <c r="DF73" s="139"/>
      <c r="DG73" s="139"/>
      <c r="DH73" s="139"/>
      <c r="DI73" s="139"/>
      <c r="DJ73" s="139"/>
      <c r="DK73" s="139"/>
      <c r="DL73" s="139"/>
      <c r="DM73" s="139"/>
      <c r="DN73" s="139"/>
      <c r="DO73" s="139"/>
      <c r="DP73" s="139"/>
      <c r="DQ73" s="139"/>
      <c r="DR73" s="139"/>
      <c r="DS73" s="139"/>
      <c r="DT73" s="139"/>
      <c r="DU73" s="139"/>
      <c r="DV73" s="139"/>
      <c r="DW73" s="139"/>
      <c r="DX73" s="139"/>
      <c r="DY73" s="139"/>
      <c r="DZ73" s="139"/>
      <c r="EA73" s="139"/>
      <c r="EB73" s="139"/>
      <c r="EC73" s="139"/>
      <c r="ED73" s="139"/>
      <c r="EE73" s="139"/>
      <c r="EF73" s="139"/>
      <c r="EG73" s="139"/>
      <c r="EH73" s="139"/>
      <c r="EI73" s="139"/>
      <c r="EJ73" s="139"/>
      <c r="EK73" s="139"/>
      <c r="EL73" s="139"/>
      <c r="EM73" s="139"/>
      <c r="EN73" s="139"/>
      <c r="EO73" s="139"/>
      <c r="EP73" s="139"/>
      <c r="EQ73" s="139"/>
      <c r="ER73" s="139"/>
      <c r="ES73" s="139"/>
      <c r="ET73" s="139"/>
      <c r="EU73" s="139"/>
      <c r="EV73" s="139"/>
      <c r="EW73" s="139"/>
      <c r="EX73" s="139"/>
      <c r="EY73" s="139"/>
      <c r="EZ73" s="139"/>
      <c r="FA73" s="139"/>
      <c r="FB73" s="139"/>
      <c r="FC73" s="139"/>
      <c r="FD73" s="139"/>
      <c r="FE73" s="139"/>
      <c r="FF73" s="139"/>
      <c r="FG73" s="139"/>
      <c r="FH73" s="139"/>
      <c r="FI73" s="139"/>
      <c r="FJ73" s="139"/>
      <c r="FK73" s="139"/>
      <c r="FL73" s="139"/>
      <c r="FM73" s="139"/>
      <c r="FN73" s="139"/>
      <c r="FO73" s="139"/>
      <c r="FP73" s="139"/>
      <c r="FQ73" s="139"/>
      <c r="FR73" s="139"/>
      <c r="FS73" s="139"/>
      <c r="FT73" s="139"/>
      <c r="FU73" s="139"/>
      <c r="FV73" s="139"/>
      <c r="FW73" s="139"/>
      <c r="FX73" s="139"/>
      <c r="FY73" s="139"/>
      <c r="FZ73" s="139"/>
      <c r="GA73" s="139"/>
      <c r="GB73" s="139"/>
      <c r="GC73" s="139"/>
      <c r="GD73" s="139"/>
      <c r="GE73" s="139"/>
      <c r="GF73" s="139"/>
      <c r="GG73" s="139"/>
      <c r="GH73" s="139"/>
      <c r="GI73" s="139"/>
      <c r="GJ73" s="139"/>
      <c r="GK73" s="139"/>
      <c r="GL73" s="139"/>
      <c r="GM73" s="139"/>
      <c r="GN73" s="139"/>
      <c r="GO73" s="139"/>
      <c r="GP73" s="139"/>
      <c r="GQ73" s="139"/>
      <c r="GR73" s="139"/>
      <c r="GS73" s="139"/>
      <c r="GT73" s="139"/>
      <c r="GU73" s="139"/>
      <c r="GV73" s="139"/>
      <c r="GW73" s="139"/>
      <c r="GX73" s="139"/>
      <c r="GY73" s="139"/>
      <c r="GZ73" s="139"/>
      <c r="HA73" s="139"/>
      <c r="HB73" s="139"/>
      <c r="HC73" s="139"/>
      <c r="HD73" s="139"/>
      <c r="HE73" s="139"/>
      <c r="HF73" s="139"/>
      <c r="HG73" s="139"/>
      <c r="HH73" s="139"/>
      <c r="HI73" s="139"/>
      <c r="HJ73" s="139"/>
      <c r="HK73" s="139"/>
      <c r="HL73" s="139"/>
      <c r="HM73" s="139"/>
      <c r="HN73" s="139"/>
      <c r="HO73" s="139"/>
      <c r="HP73" s="139"/>
      <c r="HQ73" s="139"/>
      <c r="HR73" s="139"/>
      <c r="HS73" s="139"/>
      <c r="HT73" s="139"/>
      <c r="HU73" s="139"/>
      <c r="HV73" s="139"/>
      <c r="HW73" s="139"/>
      <c r="HX73" s="139"/>
      <c r="HY73" s="139"/>
      <c r="HZ73" s="139"/>
      <c r="IA73" s="139"/>
      <c r="IB73" s="139"/>
      <c r="IC73" s="139"/>
      <c r="ID73" s="139"/>
      <c r="IE73" s="139"/>
      <c r="IF73" s="139"/>
      <c r="IG73" s="139"/>
      <c r="IH73" s="139"/>
      <c r="II73" s="139"/>
      <c r="IJ73" s="139"/>
      <c r="IK73" s="139"/>
      <c r="IL73" s="139"/>
      <c r="IM73" s="139"/>
      <c r="IN73" s="139"/>
    </row>
    <row r="74" spans="1:248" ht="12.75">
      <c r="A74" s="546"/>
      <c r="B74" s="139"/>
      <c r="C74" s="139"/>
      <c r="D74" s="552"/>
      <c r="E74" s="139"/>
      <c r="F74" s="139"/>
      <c r="G74" s="139"/>
      <c r="H74" s="139"/>
      <c r="I74" s="139"/>
      <c r="J74" s="139"/>
      <c r="K74" s="139"/>
      <c r="L74" s="139"/>
      <c r="M74" s="139"/>
      <c r="N74" s="139"/>
      <c r="O74" s="139"/>
      <c r="P74" s="139"/>
      <c r="Q74" s="553"/>
      <c r="R74" s="553"/>
      <c r="S74" s="553"/>
      <c r="T74" s="553"/>
      <c r="U74" s="553"/>
      <c r="V74" s="553"/>
      <c r="W74" s="553"/>
      <c r="X74" s="553"/>
      <c r="Y74" s="553"/>
      <c r="Z74" s="554"/>
      <c r="AA74" s="554"/>
      <c r="AB74" s="554"/>
      <c r="AC74" s="554"/>
      <c r="AD74" s="554"/>
      <c r="AE74" s="554"/>
      <c r="AF74" s="553"/>
      <c r="AG74" s="553"/>
      <c r="AH74" s="553"/>
      <c r="AI74" s="553"/>
      <c r="AJ74" s="553"/>
      <c r="AK74" s="553"/>
      <c r="AL74" s="553"/>
      <c r="AM74" s="553"/>
      <c r="AN74" s="553"/>
      <c r="AO74" s="553"/>
      <c r="AP74" s="553"/>
      <c r="AQ74" s="555"/>
      <c r="AR74" s="553"/>
      <c r="AS74" s="553"/>
      <c r="AT74" s="553"/>
      <c r="AU74" s="553"/>
      <c r="AV74" s="553"/>
      <c r="AW74" s="553"/>
      <c r="AX74" s="553"/>
      <c r="AY74" s="553"/>
      <c r="AZ74" s="553"/>
      <c r="BA74" s="561"/>
      <c r="BB74" s="561"/>
      <c r="BC74" s="561"/>
      <c r="BD74" s="139"/>
      <c r="BE74" s="139"/>
      <c r="BF74" s="553"/>
      <c r="BG74" s="553"/>
      <c r="BH74" s="553"/>
      <c r="BI74" s="553"/>
      <c r="BJ74" s="553"/>
      <c r="BK74" s="553"/>
      <c r="BL74" s="553"/>
      <c r="BM74" s="553"/>
      <c r="BN74" s="351"/>
      <c r="BO74" s="553"/>
      <c r="BP74" s="553"/>
      <c r="BQ74" s="553"/>
      <c r="BR74" s="553"/>
      <c r="BS74" s="553"/>
      <c r="BT74" s="553"/>
      <c r="BU74" s="553"/>
      <c r="BV74" s="553"/>
      <c r="BW74" s="553"/>
      <c r="BX74" s="553"/>
      <c r="BY74" s="553"/>
      <c r="BZ74" s="553"/>
      <c r="CA74" s="553"/>
      <c r="CB74" s="553"/>
      <c r="CC74" s="553"/>
      <c r="CD74" s="553"/>
      <c r="CE74" s="553"/>
      <c r="CF74" s="553"/>
      <c r="CG74" s="139"/>
      <c r="CH74" s="139"/>
      <c r="CI74" s="139"/>
      <c r="CJ74" s="139"/>
      <c r="CK74" s="139"/>
      <c r="CL74" s="139"/>
      <c r="CM74" s="139"/>
      <c r="CN74" s="139"/>
      <c r="CO74" s="139"/>
      <c r="CP74" s="139"/>
      <c r="CQ74" s="139"/>
      <c r="CR74" s="139"/>
      <c r="CS74" s="139"/>
      <c r="CT74" s="139"/>
      <c r="CU74" s="139"/>
      <c r="CV74" s="139"/>
      <c r="CW74" s="139"/>
      <c r="CX74" s="139"/>
      <c r="CY74" s="139"/>
      <c r="CZ74" s="139"/>
      <c r="DA74" s="139"/>
      <c r="DB74" s="139"/>
      <c r="DC74" s="139"/>
      <c r="DD74" s="139"/>
      <c r="DE74" s="139"/>
      <c r="DF74" s="139"/>
      <c r="DG74" s="139"/>
      <c r="DH74" s="139"/>
      <c r="DI74" s="139"/>
      <c r="DJ74" s="139"/>
      <c r="DK74" s="139"/>
      <c r="DL74" s="139"/>
      <c r="DM74" s="139"/>
      <c r="DN74" s="139"/>
      <c r="DO74" s="139"/>
      <c r="DP74" s="139"/>
      <c r="DQ74" s="139"/>
      <c r="DR74" s="139"/>
      <c r="DS74" s="139"/>
      <c r="DT74" s="139"/>
      <c r="DU74" s="139"/>
      <c r="DV74" s="139"/>
      <c r="DW74" s="139"/>
      <c r="DX74" s="139"/>
      <c r="DY74" s="139"/>
      <c r="DZ74" s="139"/>
      <c r="EA74" s="139"/>
      <c r="EB74" s="139"/>
      <c r="EC74" s="139"/>
      <c r="ED74" s="139"/>
      <c r="EE74" s="139"/>
      <c r="EF74" s="139"/>
      <c r="EG74" s="139"/>
      <c r="EH74" s="139"/>
      <c r="EI74" s="139"/>
      <c r="EJ74" s="139"/>
      <c r="EK74" s="139"/>
      <c r="EL74" s="139"/>
      <c r="EM74" s="139"/>
      <c r="EN74" s="139"/>
      <c r="EO74" s="139"/>
      <c r="EP74" s="139"/>
      <c r="EQ74" s="139"/>
      <c r="ER74" s="139"/>
      <c r="ES74" s="139"/>
      <c r="ET74" s="139"/>
      <c r="EU74" s="139"/>
      <c r="EV74" s="139"/>
      <c r="EW74" s="139"/>
      <c r="EX74" s="139"/>
      <c r="EY74" s="139"/>
      <c r="EZ74" s="139"/>
      <c r="FA74" s="139"/>
      <c r="FB74" s="139"/>
      <c r="FC74" s="139"/>
      <c r="FD74" s="139"/>
      <c r="FE74" s="139"/>
      <c r="FF74" s="139"/>
      <c r="FG74" s="139"/>
      <c r="FH74" s="139"/>
      <c r="FI74" s="139"/>
      <c r="FJ74" s="139"/>
      <c r="FK74" s="139"/>
      <c r="FL74" s="139"/>
      <c r="FM74" s="139"/>
      <c r="FN74" s="139"/>
      <c r="FO74" s="139"/>
      <c r="FP74" s="139"/>
      <c r="FQ74" s="139"/>
      <c r="FR74" s="139"/>
      <c r="FS74" s="139"/>
      <c r="FT74" s="139"/>
      <c r="FU74" s="139"/>
      <c r="FV74" s="139"/>
      <c r="FW74" s="139"/>
      <c r="FX74" s="139"/>
      <c r="FY74" s="139"/>
      <c r="FZ74" s="139"/>
      <c r="GA74" s="139"/>
      <c r="GB74" s="139"/>
      <c r="GC74" s="139"/>
      <c r="GD74" s="139"/>
      <c r="GE74" s="139"/>
      <c r="GF74" s="139"/>
      <c r="GG74" s="139"/>
      <c r="GH74" s="139"/>
      <c r="GI74" s="139"/>
      <c r="GJ74" s="139"/>
      <c r="GK74" s="139"/>
      <c r="GL74" s="139"/>
      <c r="GM74" s="139"/>
      <c r="GN74" s="139"/>
      <c r="GO74" s="139"/>
      <c r="GP74" s="139"/>
      <c r="GQ74" s="139"/>
      <c r="GR74" s="139"/>
      <c r="GS74" s="139"/>
      <c r="GT74" s="139"/>
      <c r="GU74" s="139"/>
      <c r="GV74" s="139"/>
      <c r="GW74" s="139"/>
      <c r="GX74" s="139"/>
      <c r="GY74" s="139"/>
      <c r="GZ74" s="139"/>
      <c r="HA74" s="139"/>
      <c r="HB74" s="139"/>
      <c r="HC74" s="139"/>
      <c r="HD74" s="139"/>
      <c r="HE74" s="139"/>
      <c r="HF74" s="139"/>
      <c r="HG74" s="139"/>
      <c r="HH74" s="139"/>
      <c r="HI74" s="139"/>
      <c r="HJ74" s="139"/>
      <c r="HK74" s="139"/>
      <c r="HL74" s="139"/>
      <c r="HM74" s="139"/>
      <c r="HN74" s="139"/>
      <c r="HO74" s="139"/>
      <c r="HP74" s="139"/>
      <c r="HQ74" s="139"/>
      <c r="HR74" s="139"/>
      <c r="HS74" s="139"/>
      <c r="HT74" s="139"/>
      <c r="HU74" s="139"/>
      <c r="HV74" s="139"/>
      <c r="HW74" s="139"/>
      <c r="HX74" s="139"/>
      <c r="HY74" s="139"/>
      <c r="HZ74" s="139"/>
      <c r="IA74" s="139"/>
      <c r="IB74" s="139"/>
      <c r="IC74" s="139"/>
      <c r="ID74" s="139"/>
      <c r="IE74" s="139"/>
      <c r="IF74" s="139"/>
      <c r="IG74" s="139"/>
      <c r="IH74" s="139"/>
      <c r="II74" s="139"/>
      <c r="IJ74" s="139"/>
      <c r="IK74" s="139"/>
      <c r="IL74" s="139"/>
      <c r="IM74" s="139"/>
      <c r="IN74" s="139"/>
    </row>
    <row r="75" spans="1:248" ht="12.75">
      <c r="A75" s="546"/>
      <c r="D75" s="562"/>
      <c r="Q75" s="347"/>
      <c r="R75" s="347"/>
      <c r="S75" s="347"/>
      <c r="T75" s="347"/>
      <c r="Z75" s="346"/>
      <c r="AA75" s="346"/>
      <c r="AB75" s="346"/>
      <c r="AF75" s="347"/>
      <c r="AG75" s="347"/>
      <c r="AH75" s="347"/>
      <c r="AI75" s="347"/>
      <c r="AJ75" s="347"/>
      <c r="AK75" s="347"/>
      <c r="AL75" s="347"/>
      <c r="AY75" s="347"/>
      <c r="AZ75" s="347"/>
      <c r="BA75" s="556"/>
      <c r="BB75" s="556"/>
      <c r="BC75" s="556"/>
      <c r="BD75" s="350"/>
      <c r="BE75" s="350"/>
      <c r="BJ75" s="347"/>
      <c r="BK75" s="347"/>
      <c r="BL75" s="347"/>
      <c r="BM75" s="347"/>
      <c r="BN75" s="351"/>
      <c r="BP75" s="347"/>
      <c r="CF75" s="347"/>
      <c r="CG75" s="139"/>
      <c r="CH75" s="139"/>
      <c r="CI75" s="139"/>
      <c r="CJ75" s="139"/>
      <c r="CK75" s="139"/>
      <c r="CL75" s="139"/>
      <c r="CM75" s="139"/>
      <c r="CN75" s="139"/>
      <c r="CO75" s="139"/>
      <c r="CP75" s="139"/>
      <c r="CQ75" s="139"/>
      <c r="CR75" s="139"/>
      <c r="CS75" s="139"/>
      <c r="CT75" s="139"/>
      <c r="CU75" s="139"/>
      <c r="CV75" s="139"/>
      <c r="CW75" s="139"/>
      <c r="CX75" s="139"/>
      <c r="CY75" s="139"/>
      <c r="CZ75" s="139"/>
      <c r="DA75" s="139"/>
      <c r="DB75" s="139"/>
      <c r="DC75" s="139"/>
      <c r="DD75" s="139"/>
      <c r="DE75" s="139"/>
      <c r="DF75" s="139"/>
      <c r="DG75" s="139"/>
      <c r="DH75" s="139"/>
      <c r="DI75" s="139"/>
      <c r="DJ75" s="139"/>
      <c r="DK75" s="139"/>
      <c r="DL75" s="139"/>
      <c r="DM75" s="139"/>
      <c r="DN75" s="139"/>
      <c r="DO75" s="139"/>
      <c r="DP75" s="139"/>
      <c r="DQ75" s="139"/>
      <c r="DR75" s="139"/>
      <c r="DS75" s="139"/>
      <c r="DT75" s="139"/>
      <c r="DU75" s="139"/>
      <c r="DV75" s="139"/>
      <c r="DW75" s="139"/>
      <c r="DX75" s="139"/>
      <c r="DY75" s="139"/>
      <c r="DZ75" s="139"/>
      <c r="EA75" s="139"/>
      <c r="EB75" s="139"/>
      <c r="EC75" s="139"/>
      <c r="ED75" s="139"/>
      <c r="EE75" s="139"/>
      <c r="EF75" s="139"/>
      <c r="EG75" s="139"/>
      <c r="EH75" s="139"/>
      <c r="EI75" s="139"/>
      <c r="EJ75" s="139"/>
      <c r="EK75" s="139"/>
      <c r="EL75" s="139"/>
      <c r="EM75" s="139"/>
      <c r="EN75" s="139"/>
      <c r="EO75" s="139"/>
      <c r="EP75" s="139"/>
      <c r="EQ75" s="139"/>
      <c r="ER75" s="139"/>
      <c r="ES75" s="139"/>
      <c r="ET75" s="139"/>
      <c r="EU75" s="139"/>
      <c r="EV75" s="139"/>
      <c r="EW75" s="139"/>
      <c r="EX75" s="139"/>
      <c r="EY75" s="139"/>
      <c r="EZ75" s="139"/>
      <c r="FA75" s="139"/>
      <c r="FB75" s="139"/>
      <c r="FC75" s="139"/>
      <c r="FD75" s="139"/>
      <c r="FE75" s="139"/>
      <c r="FF75" s="139"/>
      <c r="FG75" s="139"/>
      <c r="FH75" s="139"/>
      <c r="FI75" s="139"/>
      <c r="FJ75" s="139"/>
      <c r="FK75" s="139"/>
      <c r="FL75" s="139"/>
      <c r="FM75" s="139"/>
      <c r="FN75" s="139"/>
      <c r="FO75" s="139"/>
      <c r="FP75" s="139"/>
      <c r="FQ75" s="139"/>
      <c r="FR75" s="139"/>
      <c r="FS75" s="139"/>
      <c r="FT75" s="139"/>
      <c r="FU75" s="139"/>
      <c r="FV75" s="139"/>
      <c r="FW75" s="139"/>
      <c r="FX75" s="139"/>
      <c r="FY75" s="139"/>
      <c r="FZ75" s="139"/>
      <c r="GA75" s="139"/>
      <c r="GB75" s="139"/>
      <c r="GC75" s="139"/>
      <c r="GD75" s="139"/>
      <c r="GE75" s="139"/>
      <c r="GF75" s="139"/>
      <c r="GG75" s="139"/>
      <c r="GH75" s="139"/>
      <c r="GI75" s="139"/>
      <c r="GJ75" s="139"/>
      <c r="GK75" s="139"/>
      <c r="GL75" s="139"/>
      <c r="GM75" s="139"/>
      <c r="GN75" s="139"/>
      <c r="GO75" s="139"/>
      <c r="GP75" s="139"/>
      <c r="GQ75" s="139"/>
      <c r="GR75" s="139"/>
      <c r="GS75" s="139"/>
      <c r="GT75" s="139"/>
      <c r="GU75" s="139"/>
      <c r="GV75" s="139"/>
      <c r="GW75" s="139"/>
      <c r="GX75" s="139"/>
      <c r="GY75" s="139"/>
      <c r="GZ75" s="139"/>
      <c r="HA75" s="139"/>
      <c r="HB75" s="139"/>
      <c r="HC75" s="139"/>
      <c r="HD75" s="139"/>
      <c r="HE75" s="139"/>
      <c r="HF75" s="139"/>
      <c r="HG75" s="139"/>
      <c r="HH75" s="139"/>
      <c r="HI75" s="139"/>
      <c r="HJ75" s="139"/>
      <c r="HK75" s="139"/>
      <c r="HL75" s="139"/>
      <c r="HM75" s="139"/>
      <c r="HN75" s="139"/>
      <c r="HO75" s="139"/>
      <c r="HP75" s="139"/>
      <c r="HQ75" s="139"/>
      <c r="HR75" s="139"/>
      <c r="HS75" s="139"/>
      <c r="HT75" s="139"/>
      <c r="HU75" s="139"/>
      <c r="HV75" s="139"/>
      <c r="HW75" s="139"/>
      <c r="HX75" s="139"/>
      <c r="HY75" s="139"/>
      <c r="HZ75" s="139"/>
      <c r="IA75" s="139"/>
      <c r="IB75" s="139"/>
      <c r="IC75" s="139"/>
      <c r="ID75" s="139"/>
      <c r="IE75" s="139"/>
      <c r="IF75" s="139"/>
      <c r="IG75" s="139"/>
      <c r="IH75" s="139"/>
      <c r="II75" s="139"/>
      <c r="IJ75" s="139"/>
      <c r="IK75" s="139"/>
      <c r="IL75" s="139"/>
      <c r="IM75" s="139"/>
      <c r="IN75" s="139"/>
    </row>
    <row r="76" spans="4:84" ht="12.75">
      <c r="D76" s="562"/>
      <c r="Q76" s="347"/>
      <c r="R76" s="347"/>
      <c r="S76" s="347"/>
      <c r="T76" s="347"/>
      <c r="Z76" s="346"/>
      <c r="AA76" s="346"/>
      <c r="AB76" s="346"/>
      <c r="AF76" s="347"/>
      <c r="AG76" s="347"/>
      <c r="AH76" s="347"/>
      <c r="AI76" s="347"/>
      <c r="AJ76" s="347"/>
      <c r="AK76" s="347"/>
      <c r="AL76" s="347"/>
      <c r="AY76" s="347"/>
      <c r="AZ76" s="347"/>
      <c r="BA76" s="556"/>
      <c r="BB76" s="556"/>
      <c r="BC76" s="556"/>
      <c r="BD76" s="350"/>
      <c r="BE76" s="350"/>
      <c r="BJ76" s="347"/>
      <c r="BK76" s="347"/>
      <c r="BL76" s="347"/>
      <c r="BM76" s="347"/>
      <c r="BN76" s="351"/>
      <c r="BP76" s="347"/>
      <c r="CF76" s="347"/>
    </row>
    <row r="77" spans="4:84" ht="12.75">
      <c r="D77" s="552"/>
      <c r="Q77" s="347"/>
      <c r="R77" s="347"/>
      <c r="S77" s="347"/>
      <c r="T77" s="347"/>
      <c r="Z77" s="346"/>
      <c r="AA77" s="346"/>
      <c r="AB77" s="346"/>
      <c r="AF77" s="347"/>
      <c r="AG77" s="347"/>
      <c r="AH77" s="347"/>
      <c r="AI77" s="347"/>
      <c r="AJ77" s="347"/>
      <c r="AK77" s="347"/>
      <c r="AL77" s="347"/>
      <c r="AY77" s="347"/>
      <c r="AZ77" s="347"/>
      <c r="BA77" s="556"/>
      <c r="BB77" s="556"/>
      <c r="BC77" s="556"/>
      <c r="BD77" s="350"/>
      <c r="BE77" s="350"/>
      <c r="BJ77" s="347"/>
      <c r="BK77" s="347"/>
      <c r="BL77" s="347"/>
      <c r="BM77" s="347"/>
      <c r="BN77" s="351"/>
      <c r="BP77" s="347"/>
      <c r="CF77" s="347"/>
    </row>
    <row r="78" spans="4:84" ht="12.75">
      <c r="D78" s="552"/>
      <c r="Q78" s="347"/>
      <c r="R78" s="347"/>
      <c r="S78" s="347"/>
      <c r="T78" s="347"/>
      <c r="Z78" s="346"/>
      <c r="AA78" s="346"/>
      <c r="AB78" s="346"/>
      <c r="AF78" s="347"/>
      <c r="AG78" s="347"/>
      <c r="AH78" s="347"/>
      <c r="AI78" s="347"/>
      <c r="AJ78" s="347"/>
      <c r="AK78" s="347"/>
      <c r="AL78" s="347"/>
      <c r="AY78" s="347"/>
      <c r="AZ78" s="347"/>
      <c r="BA78" s="556"/>
      <c r="BB78" s="556"/>
      <c r="BC78" s="556"/>
      <c r="BD78" s="350"/>
      <c r="BE78" s="350"/>
      <c r="BJ78" s="347"/>
      <c r="BK78" s="347"/>
      <c r="BL78" s="347"/>
      <c r="BM78" s="347"/>
      <c r="BN78" s="351"/>
      <c r="BP78" s="347"/>
      <c r="CF78" s="347"/>
    </row>
    <row r="79" spans="4:84" ht="12.75">
      <c r="D79" s="552"/>
      <c r="Q79" s="347"/>
      <c r="R79" s="347"/>
      <c r="S79" s="347"/>
      <c r="T79" s="347"/>
      <c r="Z79" s="346"/>
      <c r="AA79" s="346"/>
      <c r="AB79" s="346"/>
      <c r="AF79" s="347"/>
      <c r="AG79" s="347"/>
      <c r="AH79" s="347"/>
      <c r="AI79" s="347"/>
      <c r="AJ79" s="347"/>
      <c r="AK79" s="347"/>
      <c r="AL79" s="347"/>
      <c r="AY79" s="347"/>
      <c r="AZ79" s="347"/>
      <c r="BA79" s="563"/>
      <c r="BB79" s="563"/>
      <c r="BC79" s="563"/>
      <c r="BD79" s="350"/>
      <c r="BE79" s="350"/>
      <c r="BJ79" s="347"/>
      <c r="BK79" s="347"/>
      <c r="BL79" s="347"/>
      <c r="BM79" s="347"/>
      <c r="BN79" s="351"/>
      <c r="BP79" s="347"/>
      <c r="CF79" s="347"/>
    </row>
    <row r="80" spans="4:84" ht="12.75">
      <c r="D80" s="552"/>
      <c r="Q80" s="347"/>
      <c r="R80" s="347"/>
      <c r="S80" s="347"/>
      <c r="T80" s="347"/>
      <c r="Z80" s="346"/>
      <c r="AA80" s="346"/>
      <c r="AB80" s="346"/>
      <c r="AF80" s="347"/>
      <c r="AG80" s="347"/>
      <c r="AH80" s="347"/>
      <c r="AI80" s="347"/>
      <c r="AJ80" s="347"/>
      <c r="AK80" s="347"/>
      <c r="AL80" s="347"/>
      <c r="AY80" s="347"/>
      <c r="AZ80" s="347"/>
      <c r="BA80" s="556"/>
      <c r="BB80" s="556"/>
      <c r="BC80" s="556"/>
      <c r="BD80" s="350"/>
      <c r="BE80" s="350"/>
      <c r="BJ80" s="347"/>
      <c r="BK80" s="347"/>
      <c r="BL80" s="347"/>
      <c r="BM80" s="347"/>
      <c r="BN80" s="351"/>
      <c r="BP80" s="347"/>
      <c r="CF80" s="347"/>
    </row>
    <row r="81" spans="4:84" ht="12.75">
      <c r="D81" s="564"/>
      <c r="Q81" s="347"/>
      <c r="R81" s="347"/>
      <c r="S81" s="347"/>
      <c r="T81" s="347"/>
      <c r="Z81" s="346"/>
      <c r="AA81" s="346"/>
      <c r="AB81" s="346"/>
      <c r="AF81" s="347"/>
      <c r="AG81" s="347"/>
      <c r="AH81" s="347"/>
      <c r="AI81" s="347"/>
      <c r="AJ81" s="347"/>
      <c r="AK81" s="347"/>
      <c r="AL81" s="347"/>
      <c r="AY81" s="347"/>
      <c r="AZ81" s="347"/>
      <c r="BA81" s="556"/>
      <c r="BB81" s="556"/>
      <c r="BC81" s="556"/>
      <c r="BD81" s="350"/>
      <c r="BE81" s="350"/>
      <c r="BJ81" s="347"/>
      <c r="BK81" s="347"/>
      <c r="BL81" s="347"/>
      <c r="BM81" s="347"/>
      <c r="BN81" s="351"/>
      <c r="BP81" s="347"/>
      <c r="CF81" s="347"/>
    </row>
    <row r="82" spans="4:84" ht="12.75">
      <c r="D82" s="564"/>
      <c r="Q82" s="347"/>
      <c r="R82" s="347"/>
      <c r="S82" s="347"/>
      <c r="T82" s="347"/>
      <c r="Z82" s="346"/>
      <c r="AA82" s="346"/>
      <c r="AB82" s="346"/>
      <c r="AF82" s="347"/>
      <c r="AG82" s="347"/>
      <c r="AH82" s="347"/>
      <c r="AI82" s="347"/>
      <c r="AJ82" s="347"/>
      <c r="AK82" s="347"/>
      <c r="AL82" s="347"/>
      <c r="AY82" s="347"/>
      <c r="AZ82" s="347"/>
      <c r="BA82" s="556"/>
      <c r="BB82" s="556"/>
      <c r="BC82" s="556"/>
      <c r="BD82" s="350"/>
      <c r="BE82" s="350"/>
      <c r="BJ82" s="347"/>
      <c r="BK82" s="347"/>
      <c r="BL82" s="347"/>
      <c r="BM82" s="347"/>
      <c r="BN82" s="351"/>
      <c r="BP82" s="347"/>
      <c r="CF82" s="347"/>
    </row>
    <row r="83" spans="4:84" ht="12.75">
      <c r="D83" s="564"/>
      <c r="Q83" s="347"/>
      <c r="R83" s="347"/>
      <c r="S83" s="347"/>
      <c r="T83" s="347"/>
      <c r="Z83" s="346"/>
      <c r="AA83" s="346"/>
      <c r="AB83" s="346"/>
      <c r="AF83" s="347"/>
      <c r="AG83" s="347"/>
      <c r="AH83" s="347"/>
      <c r="AI83" s="347"/>
      <c r="AJ83" s="347"/>
      <c r="AK83" s="347"/>
      <c r="AL83" s="347"/>
      <c r="AY83" s="347"/>
      <c r="AZ83" s="347"/>
      <c r="BA83" s="556"/>
      <c r="BB83" s="556"/>
      <c r="BC83" s="556"/>
      <c r="BD83" s="350"/>
      <c r="BE83" s="350"/>
      <c r="BJ83" s="347"/>
      <c r="BK83" s="347"/>
      <c r="BL83" s="347"/>
      <c r="BM83" s="347"/>
      <c r="BN83" s="351"/>
      <c r="BP83" s="347"/>
      <c r="CF83" s="347"/>
    </row>
    <row r="84" spans="4:84" ht="12.75">
      <c r="D84" s="564"/>
      <c r="Q84" s="347"/>
      <c r="R84" s="347"/>
      <c r="S84" s="347"/>
      <c r="T84" s="347"/>
      <c r="Z84" s="346"/>
      <c r="AA84" s="346"/>
      <c r="AB84" s="346"/>
      <c r="AF84" s="347"/>
      <c r="AG84" s="347"/>
      <c r="AH84" s="347"/>
      <c r="AI84" s="347"/>
      <c r="AJ84" s="347"/>
      <c r="AK84" s="347"/>
      <c r="AL84" s="347"/>
      <c r="AY84" s="347"/>
      <c r="AZ84" s="347"/>
      <c r="BA84" s="556"/>
      <c r="BB84" s="556"/>
      <c r="BC84" s="556"/>
      <c r="BD84" s="350"/>
      <c r="BE84" s="350"/>
      <c r="BJ84" s="347"/>
      <c r="BK84" s="347"/>
      <c r="BL84" s="347"/>
      <c r="BM84" s="347"/>
      <c r="BN84" s="351"/>
      <c r="BP84" s="347"/>
      <c r="CF84" s="347"/>
    </row>
    <row r="85" spans="4:84" ht="12.75">
      <c r="D85" s="552"/>
      <c r="Q85" s="347"/>
      <c r="R85" s="347"/>
      <c r="S85" s="347"/>
      <c r="T85" s="347"/>
      <c r="Z85" s="346"/>
      <c r="AA85" s="346"/>
      <c r="AB85" s="346"/>
      <c r="AF85" s="347"/>
      <c r="AG85" s="347"/>
      <c r="AH85" s="347"/>
      <c r="AI85" s="347"/>
      <c r="AJ85" s="347"/>
      <c r="AK85" s="347"/>
      <c r="AL85" s="347"/>
      <c r="AY85" s="347"/>
      <c r="AZ85" s="347"/>
      <c r="BA85" s="556"/>
      <c r="BB85" s="556"/>
      <c r="BC85" s="556"/>
      <c r="BD85" s="350"/>
      <c r="BE85" s="350"/>
      <c r="BJ85" s="347"/>
      <c r="BK85" s="347"/>
      <c r="BL85" s="347"/>
      <c r="BM85" s="347"/>
      <c r="BN85" s="351"/>
      <c r="BP85" s="347"/>
      <c r="CF85" s="347"/>
    </row>
    <row r="86" spans="4:84" ht="12.75">
      <c r="D86" s="552"/>
      <c r="Q86" s="347"/>
      <c r="R86" s="347"/>
      <c r="S86" s="347"/>
      <c r="T86" s="347"/>
      <c r="Z86" s="346"/>
      <c r="AA86" s="346"/>
      <c r="AB86" s="346"/>
      <c r="AF86" s="347"/>
      <c r="AG86" s="347"/>
      <c r="AH86" s="347"/>
      <c r="AI86" s="347"/>
      <c r="AJ86" s="347"/>
      <c r="AK86" s="347"/>
      <c r="AL86" s="347"/>
      <c r="AY86" s="347"/>
      <c r="AZ86" s="347"/>
      <c r="BA86" s="556"/>
      <c r="BB86" s="556"/>
      <c r="BC86" s="556"/>
      <c r="BD86" s="350"/>
      <c r="BE86" s="350"/>
      <c r="BJ86" s="347"/>
      <c r="BK86" s="347"/>
      <c r="BL86" s="347"/>
      <c r="BM86" s="347"/>
      <c r="BN86" s="351"/>
      <c r="BP86" s="347"/>
      <c r="CF86" s="347"/>
    </row>
    <row r="87" spans="4:84" ht="12.75">
      <c r="D87" s="552"/>
      <c r="R87" s="347"/>
      <c r="S87" s="347"/>
      <c r="T87" s="347"/>
      <c r="AA87" s="346"/>
      <c r="AB87" s="346"/>
      <c r="AG87" s="347"/>
      <c r="AH87" s="347"/>
      <c r="AI87" s="347"/>
      <c r="AJ87" s="347"/>
      <c r="AK87" s="347"/>
      <c r="AL87" s="347"/>
      <c r="AT87" s="349"/>
      <c r="AU87" s="349"/>
      <c r="AW87" s="349"/>
      <c r="AX87" s="349"/>
      <c r="AY87" s="347"/>
      <c r="AZ87" s="347"/>
      <c r="BA87" s="347"/>
      <c r="BB87" s="347"/>
      <c r="BD87" s="556"/>
      <c r="BE87" s="556"/>
      <c r="BF87" s="350"/>
      <c r="BG87" s="350"/>
      <c r="BH87" s="350"/>
      <c r="BI87" s="350"/>
      <c r="BK87" s="347"/>
      <c r="BL87" s="347"/>
      <c r="BM87" s="347"/>
      <c r="BO87" s="351"/>
      <c r="BP87" s="347"/>
      <c r="CF87" s="347"/>
    </row>
    <row r="88" spans="4:84" ht="12.75">
      <c r="D88" s="552"/>
      <c r="R88" s="347"/>
      <c r="S88" s="347"/>
      <c r="T88" s="347"/>
      <c r="AA88" s="346"/>
      <c r="AB88" s="346"/>
      <c r="AG88" s="347"/>
      <c r="AH88" s="347"/>
      <c r="AI88" s="347"/>
      <c r="AJ88" s="347"/>
      <c r="AK88" s="347"/>
      <c r="AL88" s="347"/>
      <c r="AT88" s="349"/>
      <c r="AU88" s="349"/>
      <c r="AW88" s="349"/>
      <c r="AX88" s="349"/>
      <c r="AY88" s="347"/>
      <c r="AZ88" s="347"/>
      <c r="BA88" s="347"/>
      <c r="BB88" s="347"/>
      <c r="BD88" s="556"/>
      <c r="BE88" s="556"/>
      <c r="BF88" s="350"/>
      <c r="BG88" s="350"/>
      <c r="BH88" s="350"/>
      <c r="BI88" s="350"/>
      <c r="BK88" s="347"/>
      <c r="BL88" s="347"/>
      <c r="BM88" s="347"/>
      <c r="BO88" s="351"/>
      <c r="BP88" s="347"/>
      <c r="CF88" s="347"/>
    </row>
    <row r="89" spans="4:84" ht="12.75">
      <c r="D89" s="564"/>
      <c r="R89" s="347"/>
      <c r="S89" s="347"/>
      <c r="T89" s="347"/>
      <c r="AA89" s="346"/>
      <c r="AB89" s="346"/>
      <c r="AG89" s="347"/>
      <c r="AH89" s="347"/>
      <c r="AI89" s="347"/>
      <c r="AJ89" s="347"/>
      <c r="AK89" s="347"/>
      <c r="AL89" s="347"/>
      <c r="AT89" s="349"/>
      <c r="AU89" s="349"/>
      <c r="AW89" s="349"/>
      <c r="AX89" s="349"/>
      <c r="AY89" s="347"/>
      <c r="AZ89" s="347"/>
      <c r="BA89" s="347"/>
      <c r="BB89" s="347"/>
      <c r="BD89" s="556"/>
      <c r="BE89" s="556"/>
      <c r="BF89" s="350"/>
      <c r="BG89" s="350"/>
      <c r="BH89" s="350"/>
      <c r="BI89" s="350"/>
      <c r="BK89" s="347"/>
      <c r="BL89" s="347"/>
      <c r="BM89" s="347"/>
      <c r="BO89" s="351"/>
      <c r="BP89" s="347"/>
      <c r="CF89" s="347"/>
    </row>
    <row r="90" spans="4:84" ht="12.75">
      <c r="D90" s="552"/>
      <c r="R90" s="347"/>
      <c r="S90" s="347"/>
      <c r="T90" s="347"/>
      <c r="AA90" s="346"/>
      <c r="AB90" s="346"/>
      <c r="AG90" s="347"/>
      <c r="AH90" s="347"/>
      <c r="AI90" s="347"/>
      <c r="AJ90" s="347"/>
      <c r="AK90" s="347"/>
      <c r="AL90" s="347"/>
      <c r="AT90" s="349"/>
      <c r="AU90" s="349"/>
      <c r="AW90" s="349"/>
      <c r="AX90" s="349"/>
      <c r="AY90" s="347"/>
      <c r="AZ90" s="347"/>
      <c r="BA90" s="347"/>
      <c r="BB90" s="347"/>
      <c r="BD90" s="556"/>
      <c r="BE90" s="556"/>
      <c r="BF90" s="350"/>
      <c r="BG90" s="350"/>
      <c r="BH90" s="350"/>
      <c r="BI90" s="350"/>
      <c r="BK90" s="347"/>
      <c r="BL90" s="347"/>
      <c r="BM90" s="347"/>
      <c r="BO90" s="351"/>
      <c r="BP90" s="347"/>
      <c r="CF90" s="347"/>
    </row>
    <row r="91" spans="4:84" ht="12.75">
      <c r="D91" s="552"/>
      <c r="R91" s="347"/>
      <c r="S91" s="347"/>
      <c r="T91" s="347"/>
      <c r="AA91" s="346"/>
      <c r="AB91" s="346"/>
      <c r="AG91" s="347"/>
      <c r="AH91" s="347"/>
      <c r="AI91" s="347"/>
      <c r="AJ91" s="347"/>
      <c r="AK91" s="347"/>
      <c r="AL91" s="347"/>
      <c r="AT91" s="349"/>
      <c r="AU91" s="349"/>
      <c r="AW91" s="349"/>
      <c r="AX91" s="349"/>
      <c r="AY91" s="347"/>
      <c r="AZ91" s="347"/>
      <c r="BA91" s="347"/>
      <c r="BB91" s="347"/>
      <c r="BD91" s="556"/>
      <c r="BE91" s="556"/>
      <c r="BF91" s="350"/>
      <c r="BG91" s="350"/>
      <c r="BH91" s="350"/>
      <c r="BI91" s="350"/>
      <c r="BK91" s="347"/>
      <c r="BL91" s="347"/>
      <c r="BM91" s="347"/>
      <c r="BO91" s="351"/>
      <c r="BP91" s="347"/>
      <c r="CF91" s="347"/>
    </row>
    <row r="92" spans="4:84" ht="12.75">
      <c r="D92" s="564"/>
      <c r="R92" s="347"/>
      <c r="S92" s="347"/>
      <c r="T92" s="347"/>
      <c r="AA92" s="346"/>
      <c r="AB92" s="346"/>
      <c r="AG92" s="347"/>
      <c r="AH92" s="347"/>
      <c r="AI92" s="347"/>
      <c r="AJ92" s="347"/>
      <c r="AK92" s="347"/>
      <c r="AL92" s="347"/>
      <c r="AW92" s="349"/>
      <c r="AX92" s="349"/>
      <c r="AY92" s="347"/>
      <c r="AZ92" s="347"/>
      <c r="BA92" s="347"/>
      <c r="BB92" s="347"/>
      <c r="BC92" s="556"/>
      <c r="BD92" s="350"/>
      <c r="BE92" s="350"/>
      <c r="BF92" s="350"/>
      <c r="BG92" s="350"/>
      <c r="BH92" s="350"/>
      <c r="BI92" s="350"/>
      <c r="BJ92" s="347"/>
      <c r="BK92" s="347"/>
      <c r="BL92" s="347"/>
      <c r="BM92" s="347"/>
      <c r="BN92" s="351"/>
      <c r="CF92" s="347"/>
    </row>
    <row r="93" spans="4:84" ht="12.75">
      <c r="D93" s="552"/>
      <c r="R93" s="347"/>
      <c r="S93" s="347"/>
      <c r="T93" s="347"/>
      <c r="AA93" s="346"/>
      <c r="AB93" s="346"/>
      <c r="AG93" s="347"/>
      <c r="AH93" s="347"/>
      <c r="AI93" s="347"/>
      <c r="AJ93" s="347"/>
      <c r="AK93" s="347"/>
      <c r="AL93" s="347"/>
      <c r="AW93" s="349"/>
      <c r="AX93" s="349"/>
      <c r="AY93" s="347"/>
      <c r="AZ93" s="347"/>
      <c r="BA93" s="347"/>
      <c r="BB93" s="347"/>
      <c r="BC93" s="556"/>
      <c r="BD93" s="350"/>
      <c r="BE93" s="350"/>
      <c r="BF93" s="350"/>
      <c r="BG93" s="350"/>
      <c r="BH93" s="350"/>
      <c r="BI93" s="350"/>
      <c r="BJ93" s="347"/>
      <c r="BK93" s="347"/>
      <c r="BL93" s="347"/>
      <c r="BM93" s="347"/>
      <c r="BN93" s="351"/>
      <c r="CF93" s="347"/>
    </row>
    <row r="94" spans="4:84" ht="12.75">
      <c r="D94" s="552"/>
      <c r="R94" s="347"/>
      <c r="S94" s="347"/>
      <c r="T94" s="347"/>
      <c r="AA94" s="346"/>
      <c r="AB94" s="346"/>
      <c r="AG94" s="347"/>
      <c r="AH94" s="347"/>
      <c r="AI94" s="347"/>
      <c r="AJ94" s="347"/>
      <c r="AK94" s="347"/>
      <c r="AL94" s="347"/>
      <c r="AW94" s="349"/>
      <c r="AX94" s="349"/>
      <c r="AY94" s="347"/>
      <c r="AZ94" s="347"/>
      <c r="BA94" s="347"/>
      <c r="BB94" s="347"/>
      <c r="BC94" s="556"/>
      <c r="BD94" s="350"/>
      <c r="BE94" s="350"/>
      <c r="BF94" s="350"/>
      <c r="BG94" s="350"/>
      <c r="BH94" s="350"/>
      <c r="BI94" s="350"/>
      <c r="BJ94" s="347"/>
      <c r="BK94" s="347"/>
      <c r="BL94" s="347"/>
      <c r="BM94" s="347"/>
      <c r="BN94" s="351"/>
      <c r="CF94" s="347"/>
    </row>
    <row r="95" spans="4:84" ht="12.75">
      <c r="D95" s="552"/>
      <c r="R95" s="347"/>
      <c r="S95" s="347"/>
      <c r="T95" s="347"/>
      <c r="AA95" s="346"/>
      <c r="AB95" s="346"/>
      <c r="AG95" s="347"/>
      <c r="AH95" s="347"/>
      <c r="AI95" s="347"/>
      <c r="AJ95" s="347"/>
      <c r="AK95" s="347"/>
      <c r="AL95" s="347"/>
      <c r="AW95" s="349"/>
      <c r="AX95" s="349"/>
      <c r="AY95" s="347"/>
      <c r="AZ95" s="347"/>
      <c r="BA95" s="347"/>
      <c r="BB95" s="347"/>
      <c r="BC95" s="556"/>
      <c r="BD95" s="350"/>
      <c r="BE95" s="350"/>
      <c r="BF95" s="350"/>
      <c r="BG95" s="350"/>
      <c r="BH95" s="350"/>
      <c r="BI95" s="350"/>
      <c r="BJ95" s="347"/>
      <c r="BK95" s="347"/>
      <c r="BL95" s="347"/>
      <c r="BM95" s="347"/>
      <c r="BN95" s="351"/>
      <c r="CF95" s="347"/>
    </row>
    <row r="96" spans="4:84" ht="12.75">
      <c r="D96" s="552"/>
      <c r="R96" s="347"/>
      <c r="S96" s="347"/>
      <c r="T96" s="347"/>
      <c r="AA96" s="346"/>
      <c r="AB96" s="346"/>
      <c r="AG96" s="347"/>
      <c r="AH96" s="347"/>
      <c r="AI96" s="347"/>
      <c r="AJ96" s="347"/>
      <c r="AK96" s="347"/>
      <c r="AL96" s="347"/>
      <c r="AW96" s="349"/>
      <c r="AX96" s="349"/>
      <c r="AY96" s="347"/>
      <c r="AZ96" s="347"/>
      <c r="BA96" s="347"/>
      <c r="BB96" s="347"/>
      <c r="BC96" s="556"/>
      <c r="BD96" s="350"/>
      <c r="BE96" s="350"/>
      <c r="BF96" s="350"/>
      <c r="BG96" s="350"/>
      <c r="BH96" s="350"/>
      <c r="BI96" s="350"/>
      <c r="BJ96" s="347"/>
      <c r="BK96" s="347"/>
      <c r="BL96" s="347"/>
      <c r="BM96" s="347"/>
      <c r="BN96" s="351"/>
      <c r="CF96" s="347"/>
    </row>
    <row r="97" spans="4:64" ht="12.75">
      <c r="D97" s="552"/>
      <c r="R97" s="347"/>
      <c r="S97" s="347"/>
      <c r="T97" s="347"/>
      <c r="AA97" s="346"/>
      <c r="AB97" s="346"/>
      <c r="AE97" s="347"/>
      <c r="AF97" s="347"/>
      <c r="AG97" s="347"/>
      <c r="AH97" s="347"/>
      <c r="AI97" s="347"/>
      <c r="AJ97" s="347"/>
      <c r="AK97" s="347"/>
      <c r="AL97" s="347"/>
      <c r="AW97" s="349"/>
      <c r="AX97" s="349"/>
      <c r="AY97" s="556"/>
      <c r="AZ97" s="556"/>
      <c r="BA97" s="556"/>
      <c r="BB97" s="556"/>
      <c r="BC97" s="350"/>
      <c r="BJ97" s="347"/>
      <c r="BK97" s="347"/>
      <c r="BL97" s="347"/>
    </row>
    <row r="98" spans="4:64" ht="12.75">
      <c r="D98" s="552"/>
      <c r="R98" s="347"/>
      <c r="S98" s="347"/>
      <c r="T98" s="347"/>
      <c r="AA98" s="346"/>
      <c r="AB98" s="346"/>
      <c r="AE98" s="347"/>
      <c r="AF98" s="347"/>
      <c r="AG98" s="347"/>
      <c r="AH98" s="347"/>
      <c r="AI98" s="347"/>
      <c r="AJ98" s="347"/>
      <c r="AK98" s="347"/>
      <c r="AL98" s="347"/>
      <c r="AW98" s="349"/>
      <c r="AX98" s="349"/>
      <c r="AY98" s="556"/>
      <c r="AZ98" s="556"/>
      <c r="BA98" s="556"/>
      <c r="BB98" s="556"/>
      <c r="BC98" s="350"/>
      <c r="BJ98" s="347"/>
      <c r="BK98" s="347"/>
      <c r="BL98" s="347"/>
    </row>
    <row r="99" spans="4:64" ht="12.75">
      <c r="D99" s="552"/>
      <c r="R99" s="347"/>
      <c r="S99" s="347"/>
      <c r="T99" s="347"/>
      <c r="AA99" s="346"/>
      <c r="AB99" s="346"/>
      <c r="AE99" s="347"/>
      <c r="AF99" s="347"/>
      <c r="AG99" s="347"/>
      <c r="AH99" s="347"/>
      <c r="AI99" s="347"/>
      <c r="AJ99" s="347"/>
      <c r="AK99" s="347"/>
      <c r="AL99" s="347"/>
      <c r="AW99" s="349"/>
      <c r="AX99" s="349"/>
      <c r="AY99" s="556"/>
      <c r="AZ99" s="556"/>
      <c r="BA99" s="556"/>
      <c r="BB99" s="556"/>
      <c r="BC99" s="350"/>
      <c r="BJ99" s="347"/>
      <c r="BK99" s="347"/>
      <c r="BL99" s="347"/>
    </row>
    <row r="100" spans="4:64" ht="12.75">
      <c r="D100" s="552"/>
      <c r="R100" s="347"/>
      <c r="S100" s="347"/>
      <c r="T100" s="347"/>
      <c r="AA100" s="346"/>
      <c r="AB100" s="346"/>
      <c r="AE100" s="347"/>
      <c r="AF100" s="347"/>
      <c r="AG100" s="347"/>
      <c r="AH100" s="347"/>
      <c r="AI100" s="347"/>
      <c r="AJ100" s="347"/>
      <c r="AK100" s="347"/>
      <c r="AL100" s="347"/>
      <c r="AW100" s="349"/>
      <c r="AX100" s="349"/>
      <c r="AY100" s="556"/>
      <c r="AZ100" s="556"/>
      <c r="BA100" s="556"/>
      <c r="BB100" s="556"/>
      <c r="BC100" s="350"/>
      <c r="BJ100" s="347"/>
      <c r="BK100" s="347"/>
      <c r="BL100" s="347"/>
    </row>
    <row r="101" spans="4:64" ht="12.75">
      <c r="D101" s="552"/>
      <c r="R101" s="347"/>
      <c r="S101" s="347"/>
      <c r="T101" s="347"/>
      <c r="AA101" s="346"/>
      <c r="AB101" s="346"/>
      <c r="AE101" s="347"/>
      <c r="AF101" s="347"/>
      <c r="AG101" s="347"/>
      <c r="AH101" s="347"/>
      <c r="AI101" s="347"/>
      <c r="AJ101" s="347"/>
      <c r="AK101" s="347"/>
      <c r="AL101" s="347"/>
      <c r="AW101" s="349"/>
      <c r="AX101" s="349"/>
      <c r="AY101" s="556"/>
      <c r="AZ101" s="556"/>
      <c r="BA101" s="556"/>
      <c r="BB101" s="556"/>
      <c r="BC101" s="350"/>
      <c r="BJ101" s="347"/>
      <c r="BK101" s="347"/>
      <c r="BL101" s="347"/>
    </row>
    <row r="102" spans="4:64" ht="12.75">
      <c r="D102" s="552"/>
      <c r="R102" s="347"/>
      <c r="S102" s="347"/>
      <c r="T102" s="347"/>
      <c r="AA102" s="346"/>
      <c r="AB102" s="346"/>
      <c r="AE102" s="347"/>
      <c r="AF102" s="347"/>
      <c r="AG102" s="347"/>
      <c r="AH102" s="347"/>
      <c r="AI102" s="347"/>
      <c r="AJ102" s="347"/>
      <c r="AK102" s="347"/>
      <c r="AL102" s="347"/>
      <c r="AW102" s="349"/>
      <c r="AX102" s="349"/>
      <c r="AY102" s="556"/>
      <c r="AZ102" s="556"/>
      <c r="BA102" s="556"/>
      <c r="BB102" s="556"/>
      <c r="BC102" s="350"/>
      <c r="BJ102" s="347"/>
      <c r="BK102" s="347"/>
      <c r="BL102" s="347"/>
    </row>
    <row r="103" spans="4:64" ht="12.75">
      <c r="D103" s="552"/>
      <c r="R103" s="347"/>
      <c r="S103" s="347"/>
      <c r="T103" s="347"/>
      <c r="AA103" s="346"/>
      <c r="AB103" s="346"/>
      <c r="AE103" s="347"/>
      <c r="AF103" s="347"/>
      <c r="AG103" s="347"/>
      <c r="AH103" s="347"/>
      <c r="AI103" s="347"/>
      <c r="AJ103" s="347"/>
      <c r="AK103" s="347"/>
      <c r="AL103" s="347"/>
      <c r="AW103" s="349"/>
      <c r="AX103" s="349"/>
      <c r="AY103" s="556"/>
      <c r="AZ103" s="556"/>
      <c r="BA103" s="556"/>
      <c r="BB103" s="556"/>
      <c r="BC103" s="350"/>
      <c r="BJ103" s="347"/>
      <c r="BK103" s="347"/>
      <c r="BL103" s="347"/>
    </row>
    <row r="104" spans="4:64" ht="12.75">
      <c r="D104" s="552"/>
      <c r="R104" s="347"/>
      <c r="S104" s="347"/>
      <c r="T104" s="347"/>
      <c r="AA104" s="346"/>
      <c r="AB104" s="346"/>
      <c r="AE104" s="347"/>
      <c r="AF104" s="347"/>
      <c r="AG104" s="347"/>
      <c r="AH104" s="347"/>
      <c r="AI104" s="347"/>
      <c r="AJ104" s="347"/>
      <c r="AK104" s="347"/>
      <c r="AL104" s="347"/>
      <c r="AW104" s="349"/>
      <c r="AX104" s="349"/>
      <c r="AY104" s="556"/>
      <c r="AZ104" s="556"/>
      <c r="BA104" s="556"/>
      <c r="BB104" s="556"/>
      <c r="BC104" s="350"/>
      <c r="BJ104" s="347"/>
      <c r="BK104" s="347"/>
      <c r="BL104" s="347"/>
    </row>
    <row r="105" spans="4:64" ht="12.75">
      <c r="D105" s="552"/>
      <c r="R105" s="347"/>
      <c r="S105" s="347"/>
      <c r="T105" s="347"/>
      <c r="AA105" s="346"/>
      <c r="AB105" s="346"/>
      <c r="AE105" s="347"/>
      <c r="AF105" s="347"/>
      <c r="AG105" s="347"/>
      <c r="AH105" s="347"/>
      <c r="AI105" s="347"/>
      <c r="AJ105" s="347"/>
      <c r="AK105" s="347"/>
      <c r="AL105" s="347"/>
      <c r="AW105" s="349"/>
      <c r="AX105" s="349"/>
      <c r="AY105" s="556"/>
      <c r="AZ105" s="556"/>
      <c r="BA105" s="556"/>
      <c r="BB105" s="556"/>
      <c r="BC105" s="350"/>
      <c r="BJ105" s="347"/>
      <c r="BK105" s="347"/>
      <c r="BL105" s="347"/>
    </row>
    <row r="106" spans="4:64" ht="12.75">
      <c r="D106" s="552"/>
      <c r="R106" s="347"/>
      <c r="S106" s="347"/>
      <c r="T106" s="347"/>
      <c r="AA106" s="346"/>
      <c r="AB106" s="346"/>
      <c r="AE106" s="347"/>
      <c r="AF106" s="347"/>
      <c r="AG106" s="347"/>
      <c r="AH106" s="347"/>
      <c r="AI106" s="347"/>
      <c r="AJ106" s="347"/>
      <c r="AK106" s="347"/>
      <c r="AL106" s="347"/>
      <c r="AW106" s="349"/>
      <c r="AX106" s="349"/>
      <c r="AY106" s="556"/>
      <c r="AZ106" s="556"/>
      <c r="BA106" s="556"/>
      <c r="BB106" s="556"/>
      <c r="BC106" s="350"/>
      <c r="BJ106" s="347"/>
      <c r="BK106" s="347"/>
      <c r="BL106" s="347"/>
    </row>
    <row r="107" spans="4:64" ht="12.75">
      <c r="D107" s="564"/>
      <c r="R107" s="347"/>
      <c r="S107" s="347"/>
      <c r="T107" s="347"/>
      <c r="AA107" s="346"/>
      <c r="AB107" s="346"/>
      <c r="AE107" s="347"/>
      <c r="AF107" s="347"/>
      <c r="AG107" s="347"/>
      <c r="AH107" s="347"/>
      <c r="AI107" s="347"/>
      <c r="AJ107" s="347"/>
      <c r="AK107" s="347"/>
      <c r="AL107" s="347"/>
      <c r="AW107" s="349"/>
      <c r="AX107" s="349"/>
      <c r="AY107" s="556"/>
      <c r="AZ107" s="556"/>
      <c r="BA107" s="556"/>
      <c r="BB107" s="556"/>
      <c r="BC107" s="350"/>
      <c r="BJ107" s="347"/>
      <c r="BK107" s="347"/>
      <c r="BL107" s="347"/>
    </row>
    <row r="108" spans="4:64" ht="12.75">
      <c r="D108" s="552"/>
      <c r="R108" s="347"/>
      <c r="S108" s="347"/>
      <c r="T108" s="347"/>
      <c r="AA108" s="346"/>
      <c r="AB108" s="346"/>
      <c r="AE108" s="347"/>
      <c r="AF108" s="347"/>
      <c r="AG108" s="347"/>
      <c r="AH108" s="347"/>
      <c r="AI108" s="347"/>
      <c r="AJ108" s="347"/>
      <c r="AK108" s="347"/>
      <c r="AL108" s="347"/>
      <c r="AW108" s="349"/>
      <c r="AX108" s="349"/>
      <c r="AY108" s="556"/>
      <c r="AZ108" s="556"/>
      <c r="BA108" s="556"/>
      <c r="BB108" s="556"/>
      <c r="BC108" s="350"/>
      <c r="BJ108" s="347"/>
      <c r="BK108" s="347"/>
      <c r="BL108" s="347"/>
    </row>
    <row r="109" spans="4:64" ht="12.75">
      <c r="D109" s="552"/>
      <c r="R109" s="347"/>
      <c r="S109" s="347"/>
      <c r="T109" s="347"/>
      <c r="AA109" s="346"/>
      <c r="AB109" s="346"/>
      <c r="AE109" s="347"/>
      <c r="AF109" s="347"/>
      <c r="AG109" s="347"/>
      <c r="AH109" s="347"/>
      <c r="AI109" s="347"/>
      <c r="AJ109" s="347"/>
      <c r="AK109" s="347"/>
      <c r="AL109" s="347"/>
      <c r="AW109" s="349"/>
      <c r="AX109" s="349"/>
      <c r="AY109" s="556"/>
      <c r="AZ109" s="556"/>
      <c r="BA109" s="556"/>
      <c r="BB109" s="556"/>
      <c r="BC109" s="350"/>
      <c r="BJ109" s="347"/>
      <c r="BK109" s="347"/>
      <c r="BL109" s="347"/>
    </row>
    <row r="110" spans="4:64" ht="12.75">
      <c r="D110" s="552"/>
      <c r="R110" s="347"/>
      <c r="S110" s="347"/>
      <c r="T110" s="347"/>
      <c r="AA110" s="346"/>
      <c r="AB110" s="346"/>
      <c r="AE110" s="347"/>
      <c r="AF110" s="347"/>
      <c r="AG110" s="347"/>
      <c r="AH110" s="347"/>
      <c r="AI110" s="347"/>
      <c r="AJ110" s="347"/>
      <c r="AK110" s="347"/>
      <c r="AL110" s="347"/>
      <c r="AW110" s="349"/>
      <c r="AX110" s="349"/>
      <c r="AY110" s="556"/>
      <c r="AZ110" s="556"/>
      <c r="BA110" s="556"/>
      <c r="BB110" s="556"/>
      <c r="BC110" s="350"/>
      <c r="BJ110" s="347"/>
      <c r="BK110" s="347"/>
      <c r="BL110" s="347"/>
    </row>
    <row r="111" spans="4:64" ht="12.75">
      <c r="D111" s="552"/>
      <c r="R111" s="347"/>
      <c r="S111" s="347"/>
      <c r="T111" s="347"/>
      <c r="AA111" s="346"/>
      <c r="AB111" s="346"/>
      <c r="AE111" s="347"/>
      <c r="AF111" s="347"/>
      <c r="AG111" s="347"/>
      <c r="AH111" s="347"/>
      <c r="AI111" s="347"/>
      <c r="AJ111" s="347"/>
      <c r="AK111" s="347"/>
      <c r="AL111" s="347"/>
      <c r="AW111" s="349"/>
      <c r="AX111" s="349"/>
      <c r="AY111" s="556"/>
      <c r="AZ111" s="556"/>
      <c r="BA111" s="556"/>
      <c r="BB111" s="556"/>
      <c r="BC111" s="350"/>
      <c r="BJ111" s="347"/>
      <c r="BK111" s="347"/>
      <c r="BL111" s="347"/>
    </row>
    <row r="112" spans="4:64" ht="12.75">
      <c r="D112" s="552"/>
      <c r="R112" s="347"/>
      <c r="S112" s="347"/>
      <c r="T112" s="347"/>
      <c r="AA112" s="346"/>
      <c r="AB112" s="346"/>
      <c r="AE112" s="347"/>
      <c r="AF112" s="347"/>
      <c r="AG112" s="347"/>
      <c r="AH112" s="347"/>
      <c r="AI112" s="347"/>
      <c r="AJ112" s="347"/>
      <c r="AK112" s="347"/>
      <c r="AL112" s="347"/>
      <c r="AW112" s="349"/>
      <c r="AX112" s="349"/>
      <c r="AY112" s="556"/>
      <c r="AZ112" s="556"/>
      <c r="BA112" s="556"/>
      <c r="BB112" s="556"/>
      <c r="BC112" s="350"/>
      <c r="BJ112" s="347"/>
      <c r="BK112" s="347"/>
      <c r="BL112" s="347"/>
    </row>
    <row r="113" spans="4:64" ht="12.75">
      <c r="D113" s="552"/>
      <c r="R113" s="347"/>
      <c r="S113" s="347"/>
      <c r="T113" s="347"/>
      <c r="AA113" s="346"/>
      <c r="AB113" s="346"/>
      <c r="AE113" s="347"/>
      <c r="AF113" s="347"/>
      <c r="AG113" s="347"/>
      <c r="AH113" s="347"/>
      <c r="AI113" s="347"/>
      <c r="AJ113" s="347"/>
      <c r="AK113" s="347"/>
      <c r="AL113" s="347"/>
      <c r="AW113" s="349"/>
      <c r="AX113" s="349"/>
      <c r="AY113" s="556"/>
      <c r="AZ113" s="556"/>
      <c r="BA113" s="556"/>
      <c r="BB113" s="556"/>
      <c r="BC113" s="350"/>
      <c r="BJ113" s="347"/>
      <c r="BK113" s="347"/>
      <c r="BL113" s="347"/>
    </row>
    <row r="114" spans="4:64" ht="12.75">
      <c r="D114" s="552"/>
      <c r="R114" s="347"/>
      <c r="S114" s="347"/>
      <c r="T114" s="347"/>
      <c r="AA114" s="346"/>
      <c r="AB114" s="346"/>
      <c r="AE114" s="347"/>
      <c r="AF114" s="347"/>
      <c r="AG114" s="347"/>
      <c r="AH114" s="347"/>
      <c r="AI114" s="347"/>
      <c r="AJ114" s="347"/>
      <c r="AK114" s="347"/>
      <c r="AL114" s="347"/>
      <c r="AW114" s="349"/>
      <c r="AX114" s="349"/>
      <c r="AY114" s="556"/>
      <c r="AZ114" s="556"/>
      <c r="BA114" s="556"/>
      <c r="BB114" s="556"/>
      <c r="BC114" s="350"/>
      <c r="BJ114" s="347"/>
      <c r="BK114" s="347"/>
      <c r="BL114" s="347"/>
    </row>
    <row r="115" spans="4:64" ht="12.75">
      <c r="D115" s="552"/>
      <c r="R115" s="347"/>
      <c r="S115" s="347"/>
      <c r="T115" s="347"/>
      <c r="AA115" s="346"/>
      <c r="AB115" s="346"/>
      <c r="AE115" s="347"/>
      <c r="AF115" s="347"/>
      <c r="AG115" s="347"/>
      <c r="AH115" s="347"/>
      <c r="AI115" s="347"/>
      <c r="AJ115" s="347"/>
      <c r="AK115" s="347"/>
      <c r="AL115" s="347"/>
      <c r="AW115" s="349"/>
      <c r="AX115" s="349"/>
      <c r="AY115" s="556"/>
      <c r="AZ115" s="556"/>
      <c r="BA115" s="556"/>
      <c r="BB115" s="556"/>
      <c r="BC115" s="350"/>
      <c r="BJ115" s="347"/>
      <c r="BK115" s="347"/>
      <c r="BL115" s="347"/>
    </row>
    <row r="116" spans="4:64" ht="12.75">
      <c r="D116" s="564"/>
      <c r="R116" s="347"/>
      <c r="S116" s="347"/>
      <c r="T116" s="347"/>
      <c r="AA116" s="346"/>
      <c r="AB116" s="346"/>
      <c r="AE116" s="347"/>
      <c r="AF116" s="347"/>
      <c r="AG116" s="347"/>
      <c r="AH116" s="347"/>
      <c r="AI116" s="347"/>
      <c r="AJ116" s="347"/>
      <c r="AK116" s="347"/>
      <c r="AL116" s="347"/>
      <c r="AW116" s="349"/>
      <c r="AX116" s="349"/>
      <c r="AY116" s="556"/>
      <c r="AZ116" s="556"/>
      <c r="BA116" s="556"/>
      <c r="BB116" s="556"/>
      <c r="BC116" s="350"/>
      <c r="BJ116" s="347"/>
      <c r="BK116" s="347"/>
      <c r="BL116" s="347"/>
    </row>
    <row r="117" spans="4:64" ht="12.75">
      <c r="D117" s="564"/>
      <c r="R117" s="347"/>
      <c r="S117" s="347"/>
      <c r="T117" s="347"/>
      <c r="AA117" s="346"/>
      <c r="AB117" s="346"/>
      <c r="AE117" s="347"/>
      <c r="AF117" s="347"/>
      <c r="AG117" s="347"/>
      <c r="AH117" s="347"/>
      <c r="AI117" s="347"/>
      <c r="AJ117" s="347"/>
      <c r="AK117" s="347"/>
      <c r="AL117" s="347"/>
      <c r="AW117" s="349"/>
      <c r="AX117" s="349"/>
      <c r="AY117" s="556"/>
      <c r="AZ117" s="556"/>
      <c r="BA117" s="556"/>
      <c r="BB117" s="556"/>
      <c r="BC117" s="350"/>
      <c r="BJ117" s="347"/>
      <c r="BK117" s="347"/>
      <c r="BL117" s="347"/>
    </row>
    <row r="118" spans="4:64" ht="12.75">
      <c r="D118" s="552"/>
      <c r="R118" s="347"/>
      <c r="S118" s="347"/>
      <c r="T118" s="347"/>
      <c r="AA118" s="346"/>
      <c r="AB118" s="346"/>
      <c r="AE118" s="347"/>
      <c r="AF118" s="347"/>
      <c r="AG118" s="347"/>
      <c r="AH118" s="347"/>
      <c r="AI118" s="347"/>
      <c r="AJ118" s="347"/>
      <c r="AK118" s="347"/>
      <c r="AL118" s="347"/>
      <c r="AW118" s="349"/>
      <c r="AX118" s="349"/>
      <c r="AY118" s="556"/>
      <c r="AZ118" s="556"/>
      <c r="BA118" s="556"/>
      <c r="BB118" s="556"/>
      <c r="BC118" s="350"/>
      <c r="BJ118" s="347"/>
      <c r="BK118" s="347"/>
      <c r="BL118" s="347"/>
    </row>
    <row r="119" spans="4:64" ht="12.75">
      <c r="D119" s="552"/>
      <c r="R119" s="347"/>
      <c r="S119" s="347"/>
      <c r="T119" s="347"/>
      <c r="AA119" s="346"/>
      <c r="AB119" s="346"/>
      <c r="AE119" s="347"/>
      <c r="AF119" s="347"/>
      <c r="AG119" s="347"/>
      <c r="AH119" s="347"/>
      <c r="AI119" s="347"/>
      <c r="AJ119" s="347"/>
      <c r="AK119" s="347"/>
      <c r="AL119" s="347"/>
      <c r="AW119" s="349"/>
      <c r="AX119" s="349"/>
      <c r="AY119" s="556"/>
      <c r="AZ119" s="556"/>
      <c r="BA119" s="556"/>
      <c r="BB119" s="556"/>
      <c r="BC119" s="350"/>
      <c r="BJ119" s="347"/>
      <c r="BK119" s="347"/>
      <c r="BL119" s="347"/>
    </row>
    <row r="120" spans="4:64" ht="12.75">
      <c r="D120" s="552"/>
      <c r="R120" s="347"/>
      <c r="S120" s="347"/>
      <c r="T120" s="347"/>
      <c r="AA120" s="346"/>
      <c r="AB120" s="346"/>
      <c r="AE120" s="347"/>
      <c r="AF120" s="347"/>
      <c r="AG120" s="347"/>
      <c r="AH120" s="347"/>
      <c r="AI120" s="347"/>
      <c r="AJ120" s="347"/>
      <c r="AK120" s="347"/>
      <c r="AL120" s="347"/>
      <c r="AW120" s="349"/>
      <c r="AX120" s="349"/>
      <c r="AY120" s="556"/>
      <c r="AZ120" s="556"/>
      <c r="BA120" s="556"/>
      <c r="BB120" s="556"/>
      <c r="BC120" s="350"/>
      <c r="BJ120" s="347"/>
      <c r="BK120" s="347"/>
      <c r="BL120" s="347"/>
    </row>
    <row r="121" spans="4:64" ht="12.75">
      <c r="D121" s="552"/>
      <c r="R121" s="347"/>
      <c r="S121" s="347"/>
      <c r="T121" s="347"/>
      <c r="AA121" s="346"/>
      <c r="AB121" s="346"/>
      <c r="AE121" s="347"/>
      <c r="AF121" s="347"/>
      <c r="AG121" s="347"/>
      <c r="AH121" s="347"/>
      <c r="AI121" s="347"/>
      <c r="AJ121" s="347"/>
      <c r="AK121" s="347"/>
      <c r="AL121" s="347"/>
      <c r="AW121" s="349"/>
      <c r="AX121" s="349"/>
      <c r="AY121" s="556"/>
      <c r="AZ121" s="556"/>
      <c r="BA121" s="556"/>
      <c r="BB121" s="556"/>
      <c r="BC121" s="350"/>
      <c r="BJ121" s="347"/>
      <c r="BK121" s="347"/>
      <c r="BL121" s="347"/>
    </row>
    <row r="122" spans="4:64" ht="12.75">
      <c r="D122" s="552"/>
      <c r="R122" s="347"/>
      <c r="S122" s="347"/>
      <c r="T122" s="347"/>
      <c r="AA122" s="346"/>
      <c r="AB122" s="346"/>
      <c r="AE122" s="347"/>
      <c r="AF122" s="347"/>
      <c r="AG122" s="347"/>
      <c r="AH122" s="347"/>
      <c r="AI122" s="347"/>
      <c r="AJ122" s="347"/>
      <c r="AK122" s="347"/>
      <c r="AL122" s="347"/>
      <c r="AW122" s="349"/>
      <c r="AX122" s="349"/>
      <c r="AY122" s="556"/>
      <c r="AZ122" s="556"/>
      <c r="BA122" s="556"/>
      <c r="BB122" s="556"/>
      <c r="BC122" s="350"/>
      <c r="BJ122" s="347"/>
      <c r="BK122" s="347"/>
      <c r="BL122" s="347"/>
    </row>
    <row r="123" spans="4:64" ht="12.75">
      <c r="D123" s="552"/>
      <c r="R123" s="347"/>
      <c r="S123" s="347"/>
      <c r="T123" s="347"/>
      <c r="AA123" s="346"/>
      <c r="AB123" s="346"/>
      <c r="AE123" s="347"/>
      <c r="AF123" s="347"/>
      <c r="AG123" s="347"/>
      <c r="AH123" s="347"/>
      <c r="AI123" s="347"/>
      <c r="AJ123" s="347"/>
      <c r="AK123" s="347"/>
      <c r="AL123" s="347"/>
      <c r="AW123" s="349"/>
      <c r="AX123" s="349"/>
      <c r="AY123" s="556"/>
      <c r="AZ123" s="556"/>
      <c r="BA123" s="556"/>
      <c r="BB123" s="556"/>
      <c r="BC123" s="350"/>
      <c r="BJ123" s="347"/>
      <c r="BK123" s="347"/>
      <c r="BL123" s="347"/>
    </row>
    <row r="124" spans="4:64" ht="12.75">
      <c r="D124" s="552"/>
      <c r="R124" s="347"/>
      <c r="S124" s="347"/>
      <c r="T124" s="347"/>
      <c r="AA124" s="346"/>
      <c r="AB124" s="346"/>
      <c r="AE124" s="347"/>
      <c r="AF124" s="347"/>
      <c r="AG124" s="347"/>
      <c r="AH124" s="347"/>
      <c r="AI124" s="347"/>
      <c r="AJ124" s="347"/>
      <c r="AK124" s="347"/>
      <c r="AL124" s="347"/>
      <c r="AY124" s="556"/>
      <c r="AZ124" s="556"/>
      <c r="BA124" s="556"/>
      <c r="BB124" s="556"/>
      <c r="BC124" s="350"/>
      <c r="BJ124" s="347"/>
      <c r="BK124" s="347"/>
      <c r="BL124" s="347"/>
    </row>
    <row r="125" spans="4:64" ht="12.75">
      <c r="D125" s="552"/>
      <c r="R125" s="347"/>
      <c r="S125" s="347"/>
      <c r="T125" s="347"/>
      <c r="AA125" s="346"/>
      <c r="AB125" s="346"/>
      <c r="AE125" s="347"/>
      <c r="AF125" s="347"/>
      <c r="AG125" s="347"/>
      <c r="AH125" s="347"/>
      <c r="AI125" s="347"/>
      <c r="AJ125" s="347"/>
      <c r="AK125" s="347"/>
      <c r="AL125" s="347"/>
      <c r="AY125" s="556"/>
      <c r="AZ125" s="556"/>
      <c r="BA125" s="556"/>
      <c r="BB125" s="556"/>
      <c r="BC125" s="350"/>
      <c r="BJ125" s="347"/>
      <c r="BK125" s="347"/>
      <c r="BL125" s="347"/>
    </row>
    <row r="126" spans="4:64" ht="12.75">
      <c r="D126" s="552"/>
      <c r="R126" s="347"/>
      <c r="S126" s="347"/>
      <c r="T126" s="347"/>
      <c r="AA126" s="346"/>
      <c r="AB126" s="346"/>
      <c r="AE126" s="347"/>
      <c r="AF126" s="347"/>
      <c r="AG126" s="347"/>
      <c r="AH126" s="347"/>
      <c r="AI126" s="347"/>
      <c r="AJ126" s="347"/>
      <c r="AK126" s="347"/>
      <c r="AL126" s="347"/>
      <c r="AY126" s="556"/>
      <c r="AZ126" s="556"/>
      <c r="BA126" s="556"/>
      <c r="BB126" s="556"/>
      <c r="BC126" s="350"/>
      <c r="BJ126" s="347"/>
      <c r="BK126" s="347"/>
      <c r="BL126" s="347"/>
    </row>
    <row r="127" spans="4:64" ht="12.75">
      <c r="D127" s="552"/>
      <c r="R127" s="347"/>
      <c r="S127" s="347"/>
      <c r="T127" s="347"/>
      <c r="AA127" s="346"/>
      <c r="AB127" s="346"/>
      <c r="AE127" s="347"/>
      <c r="AF127" s="347"/>
      <c r="AG127" s="347"/>
      <c r="AH127" s="347"/>
      <c r="AI127" s="347"/>
      <c r="AJ127" s="347"/>
      <c r="AK127" s="347"/>
      <c r="AL127" s="347"/>
      <c r="AY127" s="556"/>
      <c r="AZ127" s="556"/>
      <c r="BA127" s="556"/>
      <c r="BB127" s="556"/>
      <c r="BC127" s="350"/>
      <c r="BJ127" s="347"/>
      <c r="BK127" s="347"/>
      <c r="BL127" s="347"/>
    </row>
    <row r="128" spans="4:64" ht="12.75">
      <c r="D128" s="552"/>
      <c r="R128" s="347"/>
      <c r="S128" s="347"/>
      <c r="T128" s="347"/>
      <c r="AA128" s="346"/>
      <c r="AB128" s="346"/>
      <c r="AE128" s="347"/>
      <c r="AF128" s="347"/>
      <c r="AG128" s="347"/>
      <c r="AH128" s="347"/>
      <c r="AI128" s="347"/>
      <c r="AJ128" s="347"/>
      <c r="AK128" s="347"/>
      <c r="AL128" s="347"/>
      <c r="AY128" s="556"/>
      <c r="AZ128" s="556"/>
      <c r="BA128" s="556"/>
      <c r="BB128" s="556"/>
      <c r="BC128" s="350"/>
      <c r="BJ128" s="347"/>
      <c r="BK128" s="347"/>
      <c r="BL128" s="347"/>
    </row>
    <row r="129" spans="18:64" ht="69" customHeight="1">
      <c r="R129" s="347"/>
      <c r="S129" s="347"/>
      <c r="T129" s="347"/>
      <c r="AA129" s="346"/>
      <c r="AB129" s="346"/>
      <c r="AE129" s="347"/>
      <c r="AF129" s="347"/>
      <c r="AG129" s="347"/>
      <c r="AH129" s="347"/>
      <c r="AI129" s="347"/>
      <c r="AJ129" s="347"/>
      <c r="AK129" s="347"/>
      <c r="AL129" s="347"/>
      <c r="BC129" s="350"/>
      <c r="BJ129" s="347"/>
      <c r="BK129" s="347"/>
      <c r="BL129" s="347"/>
    </row>
    <row r="130" spans="18:64" ht="69" customHeight="1">
      <c r="R130" s="347"/>
      <c r="S130" s="347"/>
      <c r="T130" s="347"/>
      <c r="AA130" s="346"/>
      <c r="AB130" s="346"/>
      <c r="AE130" s="347"/>
      <c r="AF130" s="347"/>
      <c r="AG130" s="347"/>
      <c r="AH130" s="347"/>
      <c r="AI130" s="347"/>
      <c r="AJ130" s="347"/>
      <c r="AK130" s="347"/>
      <c r="AL130" s="347"/>
      <c r="BC130" s="350"/>
      <c r="BJ130" s="347"/>
      <c r="BK130" s="347"/>
      <c r="BL130" s="347"/>
    </row>
    <row r="131" spans="18:64" ht="69" customHeight="1">
      <c r="R131" s="347"/>
      <c r="S131" s="347"/>
      <c r="T131" s="347"/>
      <c r="AA131" s="346"/>
      <c r="AB131" s="346"/>
      <c r="AE131" s="347"/>
      <c r="AF131" s="347"/>
      <c r="AG131" s="347"/>
      <c r="AH131" s="347"/>
      <c r="AI131" s="347"/>
      <c r="AJ131" s="347"/>
      <c r="AK131" s="347"/>
      <c r="AL131" s="347"/>
      <c r="BC131" s="350"/>
      <c r="BJ131" s="347"/>
      <c r="BK131" s="347"/>
      <c r="BL131" s="347"/>
    </row>
    <row r="132" spans="18:64" ht="69" customHeight="1">
      <c r="R132" s="347"/>
      <c r="S132" s="347"/>
      <c r="T132" s="347"/>
      <c r="AA132" s="346"/>
      <c r="AB132" s="346"/>
      <c r="AE132" s="347"/>
      <c r="AF132" s="347"/>
      <c r="AG132" s="347"/>
      <c r="AH132" s="347"/>
      <c r="AI132" s="347"/>
      <c r="AJ132" s="347"/>
      <c r="AK132" s="347"/>
      <c r="AL132" s="347"/>
      <c r="BC132" s="350"/>
      <c r="BJ132" s="347"/>
      <c r="BK132" s="347"/>
      <c r="BL132" s="347"/>
    </row>
    <row r="133" spans="18:64" ht="69" customHeight="1">
      <c r="R133" s="347"/>
      <c r="S133" s="347"/>
      <c r="T133" s="347"/>
      <c r="AA133" s="346"/>
      <c r="AB133" s="346"/>
      <c r="AE133" s="347"/>
      <c r="AF133" s="347"/>
      <c r="AG133" s="347"/>
      <c r="AH133" s="347"/>
      <c r="AI133" s="347"/>
      <c r="AJ133" s="347"/>
      <c r="AK133" s="347"/>
      <c r="AL133" s="347"/>
      <c r="BC133" s="350"/>
      <c r="BJ133" s="347"/>
      <c r="BK133" s="347"/>
      <c r="BL133" s="347"/>
    </row>
    <row r="134" spans="18:64" ht="69" customHeight="1">
      <c r="R134" s="347"/>
      <c r="S134" s="347"/>
      <c r="T134" s="347"/>
      <c r="AA134" s="346"/>
      <c r="AB134" s="346"/>
      <c r="AE134" s="347"/>
      <c r="AF134" s="347"/>
      <c r="AG134" s="347"/>
      <c r="AH134" s="347"/>
      <c r="AI134" s="347"/>
      <c r="AJ134" s="347"/>
      <c r="AK134" s="347"/>
      <c r="AL134" s="347"/>
      <c r="BC134" s="350"/>
      <c r="BJ134" s="347"/>
      <c r="BK134" s="347"/>
      <c r="BL134" s="347"/>
    </row>
    <row r="135" spans="18:64" ht="69" customHeight="1">
      <c r="R135" s="347"/>
      <c r="S135" s="347"/>
      <c r="T135" s="347"/>
      <c r="AA135" s="346"/>
      <c r="AB135" s="346"/>
      <c r="AE135" s="347"/>
      <c r="AF135" s="347"/>
      <c r="AG135" s="347"/>
      <c r="AH135" s="347"/>
      <c r="AI135" s="347"/>
      <c r="AJ135" s="347"/>
      <c r="AK135" s="347"/>
      <c r="AL135" s="347"/>
      <c r="BC135" s="350"/>
      <c r="BJ135" s="347"/>
      <c r="BK135" s="347"/>
      <c r="BL135" s="347"/>
    </row>
    <row r="136" spans="18:64" ht="69" customHeight="1">
      <c r="R136" s="347"/>
      <c r="S136" s="347"/>
      <c r="T136" s="347"/>
      <c r="AA136" s="346"/>
      <c r="AB136" s="346"/>
      <c r="AE136" s="347"/>
      <c r="AF136" s="347"/>
      <c r="AG136" s="347"/>
      <c r="AH136" s="347"/>
      <c r="AI136" s="347"/>
      <c r="AJ136" s="347"/>
      <c r="AK136" s="347"/>
      <c r="AL136" s="347"/>
      <c r="BC136" s="350"/>
      <c r="BJ136" s="347"/>
      <c r="BK136" s="347"/>
      <c r="BL136" s="347"/>
    </row>
    <row r="137" spans="18:64" ht="69" customHeight="1">
      <c r="R137" s="347"/>
      <c r="S137" s="347"/>
      <c r="T137" s="347"/>
      <c r="AA137" s="346"/>
      <c r="AB137" s="346"/>
      <c r="AE137" s="347"/>
      <c r="AF137" s="347"/>
      <c r="AG137" s="347"/>
      <c r="AH137" s="347"/>
      <c r="AI137" s="347"/>
      <c r="AJ137" s="347"/>
      <c r="AK137" s="347"/>
      <c r="AL137" s="347"/>
      <c r="BC137" s="350"/>
      <c r="BJ137" s="347"/>
      <c r="BK137" s="347"/>
      <c r="BL137" s="347"/>
    </row>
    <row r="138" spans="18:64" ht="69" customHeight="1">
      <c r="R138" s="347"/>
      <c r="S138" s="347"/>
      <c r="T138" s="347"/>
      <c r="AA138" s="346"/>
      <c r="AB138" s="346"/>
      <c r="AE138" s="347"/>
      <c r="AF138" s="347"/>
      <c r="AG138" s="347"/>
      <c r="AH138" s="347"/>
      <c r="AI138" s="347"/>
      <c r="AJ138" s="347"/>
      <c r="AK138" s="347"/>
      <c r="AL138" s="347"/>
      <c r="BC138" s="350"/>
      <c r="BJ138" s="347"/>
      <c r="BK138" s="347"/>
      <c r="BL138" s="347"/>
    </row>
    <row r="139" spans="18:64" ht="69" customHeight="1">
      <c r="R139" s="347"/>
      <c r="S139" s="347"/>
      <c r="T139" s="347"/>
      <c r="AA139" s="346"/>
      <c r="AB139" s="346"/>
      <c r="AE139" s="347"/>
      <c r="AF139" s="347"/>
      <c r="AG139" s="347"/>
      <c r="AH139" s="347"/>
      <c r="AI139" s="347"/>
      <c r="AJ139" s="347"/>
      <c r="AK139" s="347"/>
      <c r="AL139" s="347"/>
      <c r="BC139" s="350"/>
      <c r="BJ139" s="347"/>
      <c r="BK139" s="347"/>
      <c r="BL139" s="347"/>
    </row>
    <row r="140" spans="18:64" ht="69" customHeight="1">
      <c r="R140" s="347"/>
      <c r="S140" s="347"/>
      <c r="T140" s="347"/>
      <c r="AA140" s="346"/>
      <c r="AB140" s="346"/>
      <c r="AE140" s="347"/>
      <c r="AF140" s="347"/>
      <c r="AG140" s="347"/>
      <c r="AH140" s="347"/>
      <c r="AI140" s="347"/>
      <c r="AJ140" s="347"/>
      <c r="AK140" s="347"/>
      <c r="AL140" s="347"/>
      <c r="BC140" s="350"/>
      <c r="BJ140" s="347"/>
      <c r="BK140" s="347"/>
      <c r="BL140" s="347"/>
    </row>
    <row r="141" spans="18:64" ht="69" customHeight="1">
      <c r="R141" s="347"/>
      <c r="S141" s="347"/>
      <c r="T141" s="347"/>
      <c r="AA141" s="346"/>
      <c r="AB141" s="346"/>
      <c r="AE141" s="347"/>
      <c r="AF141" s="347"/>
      <c r="AG141" s="347"/>
      <c r="AH141" s="347"/>
      <c r="AI141" s="347"/>
      <c r="AJ141" s="347"/>
      <c r="AK141" s="347"/>
      <c r="AL141" s="347"/>
      <c r="BC141" s="350"/>
      <c r="BJ141" s="347"/>
      <c r="BK141" s="347"/>
      <c r="BL141" s="347"/>
    </row>
    <row r="142" spans="18:64" ht="69" customHeight="1">
      <c r="R142" s="347"/>
      <c r="S142" s="347"/>
      <c r="T142" s="347"/>
      <c r="AA142" s="346"/>
      <c r="AB142" s="346"/>
      <c r="AE142" s="347"/>
      <c r="AF142" s="347"/>
      <c r="AG142" s="347"/>
      <c r="AH142" s="347"/>
      <c r="AI142" s="347"/>
      <c r="AJ142" s="347"/>
      <c r="AK142" s="347"/>
      <c r="AL142" s="347"/>
      <c r="BC142" s="350"/>
      <c r="BJ142" s="347"/>
      <c r="BK142" s="347"/>
      <c r="BL142" s="347"/>
    </row>
    <row r="143" spans="18:64" ht="69" customHeight="1">
      <c r="R143" s="347"/>
      <c r="S143" s="347"/>
      <c r="T143" s="347"/>
      <c r="AA143" s="346"/>
      <c r="AB143" s="346"/>
      <c r="AE143" s="347"/>
      <c r="AF143" s="347"/>
      <c r="AG143" s="347"/>
      <c r="AH143" s="347"/>
      <c r="AI143" s="347"/>
      <c r="AJ143" s="347"/>
      <c r="AK143" s="347"/>
      <c r="AL143" s="347"/>
      <c r="BC143" s="350"/>
      <c r="BJ143" s="347"/>
      <c r="BK143" s="347"/>
      <c r="BL143" s="347"/>
    </row>
    <row r="144" spans="18:64" ht="69" customHeight="1">
      <c r="R144" s="347"/>
      <c r="S144" s="347"/>
      <c r="T144" s="347"/>
      <c r="AA144" s="346"/>
      <c r="AB144" s="346"/>
      <c r="AE144" s="347"/>
      <c r="AF144" s="347"/>
      <c r="AG144" s="347"/>
      <c r="AH144" s="347"/>
      <c r="AI144" s="347"/>
      <c r="AJ144" s="347"/>
      <c r="AK144" s="347"/>
      <c r="AL144" s="347"/>
      <c r="BC144" s="350"/>
      <c r="BJ144" s="347"/>
      <c r="BK144" s="347"/>
      <c r="BL144" s="347"/>
    </row>
    <row r="145" spans="18:64" ht="69" customHeight="1">
      <c r="R145" s="347"/>
      <c r="S145" s="347"/>
      <c r="T145" s="347"/>
      <c r="AA145" s="346"/>
      <c r="AB145" s="346"/>
      <c r="AE145" s="347"/>
      <c r="AF145" s="347"/>
      <c r="AG145" s="347"/>
      <c r="AH145" s="347"/>
      <c r="AI145" s="347"/>
      <c r="AJ145" s="347"/>
      <c r="AK145" s="347"/>
      <c r="AL145" s="347"/>
      <c r="BC145" s="350"/>
      <c r="BJ145" s="347"/>
      <c r="BK145" s="347"/>
      <c r="BL145" s="347"/>
    </row>
    <row r="146" spans="18:64" ht="69" customHeight="1">
      <c r="R146" s="347"/>
      <c r="S146" s="347"/>
      <c r="T146" s="347"/>
      <c r="AA146" s="346"/>
      <c r="AB146" s="346"/>
      <c r="AE146" s="347"/>
      <c r="AF146" s="347"/>
      <c r="AG146" s="347"/>
      <c r="AH146" s="347"/>
      <c r="AI146" s="347"/>
      <c r="AJ146" s="347"/>
      <c r="AK146" s="347"/>
      <c r="AL146" s="347"/>
      <c r="BC146" s="350"/>
      <c r="BJ146" s="347"/>
      <c r="BK146" s="347"/>
      <c r="BL146" s="347"/>
    </row>
    <row r="147" spans="18:64" ht="69" customHeight="1">
      <c r="R147" s="347"/>
      <c r="S147" s="347"/>
      <c r="T147" s="347"/>
      <c r="AA147" s="346"/>
      <c r="AB147" s="346"/>
      <c r="AE147" s="347"/>
      <c r="AF147" s="347"/>
      <c r="AG147" s="347"/>
      <c r="AH147" s="347"/>
      <c r="AI147" s="347"/>
      <c r="AJ147" s="347"/>
      <c r="AK147" s="347"/>
      <c r="AL147" s="347"/>
      <c r="BC147" s="350"/>
      <c r="BJ147" s="347"/>
      <c r="BK147" s="347"/>
      <c r="BL147" s="347"/>
    </row>
    <row r="148" spans="18:64" ht="69" customHeight="1">
      <c r="R148" s="347"/>
      <c r="S148" s="347"/>
      <c r="T148" s="347"/>
      <c r="AA148" s="346"/>
      <c r="AB148" s="346"/>
      <c r="AE148" s="347"/>
      <c r="AF148" s="347"/>
      <c r="AG148" s="347"/>
      <c r="AH148" s="347"/>
      <c r="AI148" s="347"/>
      <c r="AJ148" s="347"/>
      <c r="AK148" s="347"/>
      <c r="AL148" s="347"/>
      <c r="BC148" s="350"/>
      <c r="BJ148" s="347"/>
      <c r="BK148" s="347"/>
      <c r="BL148" s="347"/>
    </row>
    <row r="149" spans="18:64" ht="69" customHeight="1">
      <c r="R149" s="347"/>
      <c r="S149" s="347"/>
      <c r="T149" s="347"/>
      <c r="AA149" s="346"/>
      <c r="AB149" s="346"/>
      <c r="AE149" s="347"/>
      <c r="AF149" s="347"/>
      <c r="AG149" s="347"/>
      <c r="AH149" s="347"/>
      <c r="AI149" s="347"/>
      <c r="AJ149" s="347"/>
      <c r="AK149" s="347"/>
      <c r="AL149" s="347"/>
      <c r="BC149" s="350"/>
      <c r="BJ149" s="347"/>
      <c r="BK149" s="347"/>
      <c r="BL149" s="347"/>
    </row>
    <row r="150" spans="18:64" ht="69" customHeight="1">
      <c r="R150" s="347"/>
      <c r="S150" s="347"/>
      <c r="T150" s="347"/>
      <c r="AA150" s="346"/>
      <c r="AB150" s="346"/>
      <c r="AE150" s="347"/>
      <c r="AF150" s="347"/>
      <c r="AG150" s="347"/>
      <c r="AH150" s="347"/>
      <c r="AI150" s="347"/>
      <c r="AJ150" s="347"/>
      <c r="AK150" s="347"/>
      <c r="AL150" s="347"/>
      <c r="BC150" s="350"/>
      <c r="BJ150" s="347"/>
      <c r="BK150" s="347"/>
      <c r="BL150" s="347"/>
    </row>
    <row r="151" spans="18:64" ht="69" customHeight="1">
      <c r="R151" s="347"/>
      <c r="S151" s="347"/>
      <c r="T151" s="347"/>
      <c r="AA151" s="346"/>
      <c r="AB151" s="346"/>
      <c r="AE151" s="347"/>
      <c r="AF151" s="347"/>
      <c r="AG151" s="347"/>
      <c r="AH151" s="347"/>
      <c r="AI151" s="347"/>
      <c r="AJ151" s="347"/>
      <c r="AK151" s="347"/>
      <c r="AL151" s="347"/>
      <c r="BC151" s="350"/>
      <c r="BJ151" s="347"/>
      <c r="BK151" s="347"/>
      <c r="BL151" s="347"/>
    </row>
    <row r="152" spans="18:64" ht="69" customHeight="1">
      <c r="R152" s="347"/>
      <c r="S152" s="347"/>
      <c r="T152" s="347"/>
      <c r="AA152" s="346"/>
      <c r="AB152" s="346"/>
      <c r="AE152" s="347"/>
      <c r="AF152" s="347"/>
      <c r="AG152" s="347"/>
      <c r="AH152" s="347"/>
      <c r="AI152" s="347"/>
      <c r="AJ152" s="347"/>
      <c r="AK152" s="347"/>
      <c r="AL152" s="347"/>
      <c r="BC152" s="350"/>
      <c r="BJ152" s="347"/>
      <c r="BK152" s="347"/>
      <c r="BL152" s="347"/>
    </row>
    <row r="153" spans="18:64" ht="69" customHeight="1">
      <c r="R153" s="347"/>
      <c r="S153" s="347"/>
      <c r="T153" s="347"/>
      <c r="AA153" s="346"/>
      <c r="AB153" s="346"/>
      <c r="AE153" s="347"/>
      <c r="AF153" s="347"/>
      <c r="AG153" s="347"/>
      <c r="AH153" s="347"/>
      <c r="AI153" s="347"/>
      <c r="AJ153" s="347"/>
      <c r="AK153" s="347"/>
      <c r="AL153" s="347"/>
      <c r="BC153" s="350"/>
      <c r="BJ153" s="347"/>
      <c r="BK153" s="347"/>
      <c r="BL153" s="347"/>
    </row>
    <row r="154" spans="18:64" ht="69" customHeight="1">
      <c r="R154" s="347"/>
      <c r="S154" s="347"/>
      <c r="T154" s="347"/>
      <c r="AA154" s="346"/>
      <c r="AB154" s="346"/>
      <c r="AE154" s="347"/>
      <c r="AF154" s="347"/>
      <c r="AG154" s="347"/>
      <c r="AH154" s="347"/>
      <c r="AI154" s="347"/>
      <c r="AJ154" s="347"/>
      <c r="AK154" s="347"/>
      <c r="AL154" s="347"/>
      <c r="BC154" s="350"/>
      <c r="BJ154" s="347"/>
      <c r="BK154" s="347"/>
      <c r="BL154" s="347"/>
    </row>
    <row r="155" spans="18:64" ht="69" customHeight="1">
      <c r="R155" s="347"/>
      <c r="S155" s="347"/>
      <c r="T155" s="347"/>
      <c r="AA155" s="346"/>
      <c r="AB155" s="346"/>
      <c r="AE155" s="347"/>
      <c r="AF155" s="347"/>
      <c r="AG155" s="347"/>
      <c r="AH155" s="347"/>
      <c r="AI155" s="347"/>
      <c r="AJ155" s="347"/>
      <c r="AK155" s="347"/>
      <c r="AL155" s="347"/>
      <c r="BC155" s="350"/>
      <c r="BJ155" s="347"/>
      <c r="BK155" s="347"/>
      <c r="BL155" s="347"/>
    </row>
    <row r="156" spans="18:64" ht="69" customHeight="1">
      <c r="R156" s="347"/>
      <c r="S156" s="347"/>
      <c r="T156" s="347"/>
      <c r="AA156" s="346"/>
      <c r="AB156" s="346"/>
      <c r="AE156" s="347"/>
      <c r="AF156" s="347"/>
      <c r="AG156" s="347"/>
      <c r="AH156" s="347"/>
      <c r="AI156" s="347"/>
      <c r="AJ156" s="347"/>
      <c r="AK156" s="347"/>
      <c r="AL156" s="347"/>
      <c r="BC156" s="350"/>
      <c r="BJ156" s="347"/>
      <c r="BK156" s="347"/>
      <c r="BL156" s="347"/>
    </row>
    <row r="157" spans="18:64" ht="69" customHeight="1">
      <c r="R157" s="347"/>
      <c r="S157" s="347"/>
      <c r="T157" s="347"/>
      <c r="AA157" s="346"/>
      <c r="AB157" s="346"/>
      <c r="AE157" s="347"/>
      <c r="AF157" s="347"/>
      <c r="AG157" s="347"/>
      <c r="AH157" s="347"/>
      <c r="AI157" s="347"/>
      <c r="AJ157" s="347"/>
      <c r="AK157" s="347"/>
      <c r="AL157" s="347"/>
      <c r="BC157" s="350"/>
      <c r="BJ157" s="347"/>
      <c r="BK157" s="347"/>
      <c r="BL157" s="347"/>
    </row>
    <row r="158" spans="18:64" ht="69" customHeight="1">
      <c r="R158" s="347"/>
      <c r="S158" s="347"/>
      <c r="T158" s="347"/>
      <c r="AA158" s="346"/>
      <c r="AB158" s="346"/>
      <c r="AE158" s="347"/>
      <c r="AF158" s="347"/>
      <c r="AG158" s="347"/>
      <c r="AH158" s="347"/>
      <c r="AI158" s="347"/>
      <c r="AJ158" s="347"/>
      <c r="AK158" s="347"/>
      <c r="AL158" s="347"/>
      <c r="BC158" s="350"/>
      <c r="BJ158" s="347"/>
      <c r="BK158" s="347"/>
      <c r="BL158" s="347"/>
    </row>
    <row r="159" spans="18:64" ht="69" customHeight="1">
      <c r="R159" s="347"/>
      <c r="S159" s="347"/>
      <c r="T159" s="347"/>
      <c r="AA159" s="346"/>
      <c r="AB159" s="346"/>
      <c r="AE159" s="347"/>
      <c r="AF159" s="347"/>
      <c r="AG159" s="347"/>
      <c r="AH159" s="347"/>
      <c r="AI159" s="347"/>
      <c r="AJ159" s="347"/>
      <c r="AK159" s="347"/>
      <c r="AL159" s="347"/>
      <c r="BC159" s="350"/>
      <c r="BJ159" s="347"/>
      <c r="BK159" s="347"/>
      <c r="BL159" s="347"/>
    </row>
    <row r="160" spans="18:64" ht="69" customHeight="1">
      <c r="R160" s="347"/>
      <c r="S160" s="347"/>
      <c r="T160" s="347"/>
      <c r="AA160" s="346"/>
      <c r="AB160" s="346"/>
      <c r="AE160" s="347"/>
      <c r="AF160" s="347"/>
      <c r="AG160" s="347"/>
      <c r="AH160" s="347"/>
      <c r="AI160" s="347"/>
      <c r="AJ160" s="347"/>
      <c r="AK160" s="347"/>
      <c r="AL160" s="347"/>
      <c r="BC160" s="350"/>
      <c r="BJ160" s="347"/>
      <c r="BK160" s="347"/>
      <c r="BL160" s="347"/>
    </row>
    <row r="161" spans="18:64" ht="69" customHeight="1">
      <c r="R161" s="347"/>
      <c r="S161" s="347"/>
      <c r="T161" s="347"/>
      <c r="AA161" s="346"/>
      <c r="AB161" s="346"/>
      <c r="AE161" s="347"/>
      <c r="AF161" s="347"/>
      <c r="AG161" s="347"/>
      <c r="AH161" s="347"/>
      <c r="AI161" s="347"/>
      <c r="AJ161" s="347"/>
      <c r="AK161" s="347"/>
      <c r="AL161" s="347"/>
      <c r="BC161" s="350"/>
      <c r="BJ161" s="347"/>
      <c r="BK161" s="347"/>
      <c r="BL161" s="347"/>
    </row>
    <row r="162" spans="18:64" ht="69" customHeight="1">
      <c r="R162" s="347"/>
      <c r="S162" s="347"/>
      <c r="T162" s="347"/>
      <c r="AA162" s="346"/>
      <c r="AB162" s="346"/>
      <c r="AE162" s="347"/>
      <c r="AF162" s="347"/>
      <c r="AG162" s="347"/>
      <c r="AH162" s="347"/>
      <c r="AI162" s="347"/>
      <c r="AJ162" s="347"/>
      <c r="AK162" s="347"/>
      <c r="AL162" s="347"/>
      <c r="BC162" s="350"/>
      <c r="BJ162" s="347"/>
      <c r="BK162" s="347"/>
      <c r="BL162" s="347"/>
    </row>
    <row r="163" spans="18:64" ht="69" customHeight="1">
      <c r="R163" s="347"/>
      <c r="S163" s="347"/>
      <c r="T163" s="347"/>
      <c r="AA163" s="346"/>
      <c r="AB163" s="346"/>
      <c r="AE163" s="347"/>
      <c r="AF163" s="347"/>
      <c r="AG163" s="347"/>
      <c r="AH163" s="347"/>
      <c r="AI163" s="347"/>
      <c r="AJ163" s="347"/>
      <c r="AK163" s="347"/>
      <c r="AL163" s="347"/>
      <c r="BC163" s="350"/>
      <c r="BJ163" s="347"/>
      <c r="BK163" s="347"/>
      <c r="BL163" s="347"/>
    </row>
    <row r="164" spans="18:64" ht="69" customHeight="1">
      <c r="R164" s="347"/>
      <c r="S164" s="347"/>
      <c r="T164" s="347"/>
      <c r="AA164" s="346"/>
      <c r="AB164" s="346"/>
      <c r="AE164" s="347"/>
      <c r="AF164" s="347"/>
      <c r="AG164" s="347"/>
      <c r="AH164" s="347"/>
      <c r="AI164" s="347"/>
      <c r="AJ164" s="347"/>
      <c r="AK164" s="347"/>
      <c r="AL164" s="347"/>
      <c r="BC164" s="350"/>
      <c r="BJ164" s="347"/>
      <c r="BK164" s="347"/>
      <c r="BL164" s="347"/>
    </row>
    <row r="165" spans="18:64" ht="69" customHeight="1">
      <c r="R165" s="347"/>
      <c r="S165" s="347"/>
      <c r="T165" s="347"/>
      <c r="AA165" s="346"/>
      <c r="AB165" s="346"/>
      <c r="AE165" s="347"/>
      <c r="AF165" s="347"/>
      <c r="AG165" s="347"/>
      <c r="AH165" s="347"/>
      <c r="AI165" s="347"/>
      <c r="AJ165" s="347"/>
      <c r="AK165" s="347"/>
      <c r="AL165" s="347"/>
      <c r="BC165" s="350"/>
      <c r="BJ165" s="347"/>
      <c r="BK165" s="347"/>
      <c r="BL165" s="347"/>
    </row>
    <row r="166" spans="18:64" ht="69" customHeight="1">
      <c r="R166" s="347"/>
      <c r="S166" s="347"/>
      <c r="T166" s="347"/>
      <c r="AA166" s="346"/>
      <c r="AB166" s="346"/>
      <c r="AE166" s="347"/>
      <c r="AF166" s="347"/>
      <c r="AG166" s="347"/>
      <c r="AH166" s="347"/>
      <c r="AI166" s="347"/>
      <c r="AJ166" s="347"/>
      <c r="AK166" s="347"/>
      <c r="AL166" s="347"/>
      <c r="BC166" s="350"/>
      <c r="BJ166" s="347"/>
      <c r="BK166" s="347"/>
      <c r="BL166" s="347"/>
    </row>
    <row r="167" spans="18:64" ht="69" customHeight="1">
      <c r="R167" s="347"/>
      <c r="S167" s="347"/>
      <c r="T167" s="347"/>
      <c r="AA167" s="346"/>
      <c r="AB167" s="346"/>
      <c r="AE167" s="347"/>
      <c r="AF167" s="347"/>
      <c r="AG167" s="347"/>
      <c r="AH167" s="347"/>
      <c r="AI167" s="347"/>
      <c r="AJ167" s="347"/>
      <c r="AK167" s="347"/>
      <c r="AL167" s="347"/>
      <c r="BC167" s="350"/>
      <c r="BJ167" s="347"/>
      <c r="BK167" s="347"/>
      <c r="BL167" s="347"/>
    </row>
    <row r="168" spans="18:64" ht="69" customHeight="1">
      <c r="R168" s="347"/>
      <c r="S168" s="347"/>
      <c r="T168" s="347"/>
      <c r="AA168" s="346"/>
      <c r="AB168" s="346"/>
      <c r="AE168" s="347"/>
      <c r="AF168" s="347"/>
      <c r="AG168" s="347"/>
      <c r="AH168" s="347"/>
      <c r="AI168" s="347"/>
      <c r="AJ168" s="347"/>
      <c r="AK168" s="347"/>
      <c r="AL168" s="347"/>
      <c r="BC168" s="350"/>
      <c r="BJ168" s="347"/>
      <c r="BK168" s="347"/>
      <c r="BL168" s="347"/>
    </row>
    <row r="169" spans="18:64" ht="69" customHeight="1">
      <c r="R169" s="347"/>
      <c r="S169" s="347"/>
      <c r="T169" s="347"/>
      <c r="AA169" s="346"/>
      <c r="AB169" s="346"/>
      <c r="AE169" s="347"/>
      <c r="AF169" s="347"/>
      <c r="AG169" s="347"/>
      <c r="AH169" s="347"/>
      <c r="AI169" s="347"/>
      <c r="AJ169" s="347"/>
      <c r="AK169" s="347"/>
      <c r="AL169" s="347"/>
      <c r="BC169" s="350"/>
      <c r="BJ169" s="347"/>
      <c r="BK169" s="347"/>
      <c r="BL169" s="347"/>
    </row>
    <row r="170" spans="18:64" ht="69" customHeight="1">
      <c r="R170" s="347"/>
      <c r="S170" s="347"/>
      <c r="T170" s="347"/>
      <c r="AA170" s="346"/>
      <c r="AB170" s="346"/>
      <c r="AE170" s="347"/>
      <c r="AF170" s="347"/>
      <c r="AG170" s="347"/>
      <c r="AH170" s="347"/>
      <c r="AI170" s="347"/>
      <c r="AJ170" s="347"/>
      <c r="AK170" s="347"/>
      <c r="AL170" s="347"/>
      <c r="BC170" s="350"/>
      <c r="BJ170" s="347"/>
      <c r="BK170" s="347"/>
      <c r="BL170" s="347"/>
    </row>
    <row r="171" spans="18:64" ht="69" customHeight="1">
      <c r="R171" s="347"/>
      <c r="S171" s="347"/>
      <c r="T171" s="347"/>
      <c r="AA171" s="346"/>
      <c r="AB171" s="346"/>
      <c r="AE171" s="347"/>
      <c r="AF171" s="347"/>
      <c r="AG171" s="347"/>
      <c r="AH171" s="347"/>
      <c r="AI171" s="347"/>
      <c r="AJ171" s="347"/>
      <c r="AK171" s="347"/>
      <c r="AL171" s="347"/>
      <c r="BC171" s="350"/>
      <c r="BJ171" s="347"/>
      <c r="BK171" s="347"/>
      <c r="BL171" s="347"/>
    </row>
    <row r="172" spans="18:64" ht="69" customHeight="1">
      <c r="R172" s="347"/>
      <c r="S172" s="347"/>
      <c r="T172" s="347"/>
      <c r="AA172" s="346"/>
      <c r="AB172" s="346"/>
      <c r="AE172" s="347"/>
      <c r="AF172" s="347"/>
      <c r="AG172" s="347"/>
      <c r="AH172" s="347"/>
      <c r="AI172" s="347"/>
      <c r="AJ172" s="347"/>
      <c r="AK172" s="347"/>
      <c r="AL172" s="347"/>
      <c r="BC172" s="350"/>
      <c r="BJ172" s="347"/>
      <c r="BK172" s="347"/>
      <c r="BL172" s="347"/>
    </row>
    <row r="173" spans="18:64" ht="69" customHeight="1">
      <c r="R173" s="347"/>
      <c r="S173" s="347"/>
      <c r="T173" s="347"/>
      <c r="AA173" s="346"/>
      <c r="AB173" s="346"/>
      <c r="AE173" s="347"/>
      <c r="AF173" s="347"/>
      <c r="AG173" s="347"/>
      <c r="AH173" s="347"/>
      <c r="AI173" s="347"/>
      <c r="AJ173" s="347"/>
      <c r="AK173" s="347"/>
      <c r="AL173" s="347"/>
      <c r="BC173" s="350"/>
      <c r="BJ173" s="347"/>
      <c r="BK173" s="347"/>
      <c r="BL173" s="347"/>
    </row>
    <row r="174" spans="18:64" ht="69" customHeight="1">
      <c r="R174" s="347"/>
      <c r="S174" s="347"/>
      <c r="T174" s="347"/>
      <c r="AA174" s="346"/>
      <c r="AB174" s="346"/>
      <c r="AE174" s="347"/>
      <c r="AF174" s="347"/>
      <c r="AG174" s="347"/>
      <c r="AH174" s="347"/>
      <c r="AI174" s="347"/>
      <c r="AJ174" s="347"/>
      <c r="AK174" s="347"/>
      <c r="AL174" s="347"/>
      <c r="BC174" s="350"/>
      <c r="BJ174" s="347"/>
      <c r="BK174" s="347"/>
      <c r="BL174" s="347"/>
    </row>
    <row r="175" spans="18:64" ht="69" customHeight="1">
      <c r="R175" s="347"/>
      <c r="S175" s="347"/>
      <c r="T175" s="347"/>
      <c r="AA175" s="346"/>
      <c r="AB175" s="346"/>
      <c r="AE175" s="347"/>
      <c r="AF175" s="347"/>
      <c r="AG175" s="347"/>
      <c r="AH175" s="347"/>
      <c r="AI175" s="347"/>
      <c r="AJ175" s="347"/>
      <c r="AK175" s="347"/>
      <c r="AL175" s="347"/>
      <c r="BC175" s="350"/>
      <c r="BJ175" s="347"/>
      <c r="BK175" s="347"/>
      <c r="BL175" s="347"/>
    </row>
    <row r="176" spans="18:64" ht="69" customHeight="1">
      <c r="R176" s="347"/>
      <c r="S176" s="347"/>
      <c r="T176" s="347"/>
      <c r="AA176" s="346"/>
      <c r="AB176" s="346"/>
      <c r="AE176" s="347"/>
      <c r="AF176" s="347"/>
      <c r="AG176" s="347"/>
      <c r="AH176" s="347"/>
      <c r="AI176" s="347"/>
      <c r="AJ176" s="347"/>
      <c r="AK176" s="347"/>
      <c r="AL176" s="347"/>
      <c r="BC176" s="350"/>
      <c r="BJ176" s="347"/>
      <c r="BK176" s="347"/>
      <c r="BL176" s="347"/>
    </row>
    <row r="177" spans="18:64" ht="69" customHeight="1">
      <c r="R177" s="347"/>
      <c r="S177" s="347"/>
      <c r="T177" s="347"/>
      <c r="AA177" s="346"/>
      <c r="AB177" s="346"/>
      <c r="AE177" s="347"/>
      <c r="AF177" s="347"/>
      <c r="AG177" s="347"/>
      <c r="AH177" s="347"/>
      <c r="AI177" s="347"/>
      <c r="AJ177" s="347"/>
      <c r="AK177" s="347"/>
      <c r="AL177" s="347"/>
      <c r="BC177" s="350"/>
      <c r="BJ177" s="347"/>
      <c r="BK177" s="347"/>
      <c r="BL177" s="347"/>
    </row>
    <row r="178" spans="18:64" ht="69" customHeight="1">
      <c r="R178" s="347"/>
      <c r="S178" s="347"/>
      <c r="T178" s="347"/>
      <c r="AA178" s="346"/>
      <c r="AB178" s="346"/>
      <c r="AE178" s="347"/>
      <c r="AF178" s="347"/>
      <c r="AG178" s="347"/>
      <c r="AH178" s="347"/>
      <c r="AI178" s="347"/>
      <c r="AJ178" s="347"/>
      <c r="AK178" s="347"/>
      <c r="AL178" s="347"/>
      <c r="BC178" s="350"/>
      <c r="BJ178" s="347"/>
      <c r="BK178" s="347"/>
      <c r="BL178" s="347"/>
    </row>
    <row r="179" spans="18:64" ht="69" customHeight="1">
      <c r="R179" s="347"/>
      <c r="S179" s="347"/>
      <c r="T179" s="347"/>
      <c r="AA179" s="346"/>
      <c r="AB179" s="346"/>
      <c r="AE179" s="347"/>
      <c r="AF179" s="347"/>
      <c r="AG179" s="347"/>
      <c r="AH179" s="347"/>
      <c r="AI179" s="347"/>
      <c r="AJ179" s="347"/>
      <c r="AK179" s="347"/>
      <c r="AL179" s="347"/>
      <c r="BC179" s="350"/>
      <c r="BJ179" s="347"/>
      <c r="BK179" s="347"/>
      <c r="BL179" s="347"/>
    </row>
    <row r="180" spans="18:64" ht="69" customHeight="1">
      <c r="R180" s="347"/>
      <c r="S180" s="347"/>
      <c r="T180" s="347"/>
      <c r="AA180" s="346"/>
      <c r="AB180" s="346"/>
      <c r="AE180" s="347"/>
      <c r="AF180" s="347"/>
      <c r="AG180" s="347"/>
      <c r="AH180" s="347"/>
      <c r="AI180" s="347"/>
      <c r="AJ180" s="347"/>
      <c r="AK180" s="347"/>
      <c r="AL180" s="347"/>
      <c r="BC180" s="350"/>
      <c r="BJ180" s="347"/>
      <c r="BK180" s="347"/>
      <c r="BL180" s="347"/>
    </row>
    <row r="181" spans="18:64" ht="69" customHeight="1">
      <c r="R181" s="347"/>
      <c r="S181" s="347"/>
      <c r="T181" s="347"/>
      <c r="AA181" s="346"/>
      <c r="AB181" s="346"/>
      <c r="AE181" s="347"/>
      <c r="AF181" s="347"/>
      <c r="AG181" s="347"/>
      <c r="AH181" s="347"/>
      <c r="AI181" s="347"/>
      <c r="AJ181" s="347"/>
      <c r="AK181" s="347"/>
      <c r="AL181" s="347"/>
      <c r="BC181" s="350"/>
      <c r="BJ181" s="347"/>
      <c r="BK181" s="347"/>
      <c r="BL181" s="347"/>
    </row>
    <row r="182" spans="18:64" ht="69" customHeight="1">
      <c r="R182" s="347"/>
      <c r="S182" s="347"/>
      <c r="T182" s="347"/>
      <c r="AA182" s="346"/>
      <c r="AB182" s="346"/>
      <c r="AE182" s="347"/>
      <c r="AF182" s="347"/>
      <c r="AG182" s="347"/>
      <c r="AH182" s="347"/>
      <c r="AI182" s="347"/>
      <c r="AJ182" s="347"/>
      <c r="AK182" s="347"/>
      <c r="AL182" s="347"/>
      <c r="BC182" s="350"/>
      <c r="BJ182" s="347"/>
      <c r="BK182" s="347"/>
      <c r="BL182" s="347"/>
    </row>
    <row r="183" spans="18:64" ht="69" customHeight="1">
      <c r="R183" s="347"/>
      <c r="S183" s="347"/>
      <c r="T183" s="347"/>
      <c r="AA183" s="346"/>
      <c r="AB183" s="346"/>
      <c r="AE183" s="347"/>
      <c r="AF183" s="347"/>
      <c r="AG183" s="347"/>
      <c r="AH183" s="347"/>
      <c r="AI183" s="347"/>
      <c r="AJ183" s="347"/>
      <c r="AK183" s="347"/>
      <c r="AL183" s="347"/>
      <c r="BC183" s="350"/>
      <c r="BJ183" s="347"/>
      <c r="BK183" s="347"/>
      <c r="BL183" s="347"/>
    </row>
    <row r="184" spans="18:64" ht="69" customHeight="1">
      <c r="R184" s="347"/>
      <c r="S184" s="347"/>
      <c r="T184" s="347"/>
      <c r="AA184" s="346"/>
      <c r="AB184" s="346"/>
      <c r="AE184" s="347"/>
      <c r="AF184" s="347"/>
      <c r="AG184" s="347"/>
      <c r="AH184" s="347"/>
      <c r="AI184" s="347"/>
      <c r="AJ184" s="347"/>
      <c r="AK184" s="347"/>
      <c r="AL184" s="347"/>
      <c r="BC184" s="350"/>
      <c r="BJ184" s="347"/>
      <c r="BK184" s="347"/>
      <c r="BL184" s="347"/>
    </row>
    <row r="185" spans="18:64" ht="69" customHeight="1">
      <c r="R185" s="347"/>
      <c r="S185" s="347"/>
      <c r="T185" s="347"/>
      <c r="AA185" s="346"/>
      <c r="AB185" s="346"/>
      <c r="AE185" s="347"/>
      <c r="AF185" s="347"/>
      <c r="AG185" s="347"/>
      <c r="AH185" s="347"/>
      <c r="AI185" s="347"/>
      <c r="AJ185" s="347"/>
      <c r="AK185" s="347"/>
      <c r="AL185" s="347"/>
      <c r="BC185" s="350"/>
      <c r="BJ185" s="347"/>
      <c r="BK185" s="347"/>
      <c r="BL185" s="347"/>
    </row>
    <row r="186" spans="18:64" ht="69" customHeight="1">
      <c r="R186" s="347"/>
      <c r="S186" s="347"/>
      <c r="T186" s="347"/>
      <c r="AA186" s="346"/>
      <c r="AB186" s="346"/>
      <c r="AE186" s="347"/>
      <c r="AF186" s="347"/>
      <c r="AG186" s="347"/>
      <c r="AH186" s="347"/>
      <c r="AI186" s="347"/>
      <c r="AJ186" s="347"/>
      <c r="AK186" s="347"/>
      <c r="AL186" s="347"/>
      <c r="BC186" s="350"/>
      <c r="BJ186" s="347"/>
      <c r="BK186" s="347"/>
      <c r="BL186" s="347"/>
    </row>
    <row r="187" spans="18:64" ht="69" customHeight="1">
      <c r="R187" s="347"/>
      <c r="S187" s="347"/>
      <c r="T187" s="347"/>
      <c r="AA187" s="346"/>
      <c r="AB187" s="346"/>
      <c r="AE187" s="347"/>
      <c r="AF187" s="347"/>
      <c r="AG187" s="347"/>
      <c r="AH187" s="347"/>
      <c r="AI187" s="347"/>
      <c r="AJ187" s="347"/>
      <c r="AK187" s="347"/>
      <c r="AL187" s="347"/>
      <c r="BC187" s="350"/>
      <c r="BJ187" s="347"/>
      <c r="BK187" s="347"/>
      <c r="BL187" s="347"/>
    </row>
    <row r="188" spans="18:64" ht="69" customHeight="1">
      <c r="R188" s="347"/>
      <c r="S188" s="347"/>
      <c r="T188" s="347"/>
      <c r="AA188" s="346"/>
      <c r="AB188" s="346"/>
      <c r="AE188" s="347"/>
      <c r="AF188" s="347"/>
      <c r="AG188" s="347"/>
      <c r="AH188" s="347"/>
      <c r="AI188" s="347"/>
      <c r="AJ188" s="347"/>
      <c r="AK188" s="347"/>
      <c r="AL188" s="347"/>
      <c r="BC188" s="350"/>
      <c r="BJ188" s="347"/>
      <c r="BK188" s="347"/>
      <c r="BL188" s="347"/>
    </row>
    <row r="189" spans="18:64" ht="69" customHeight="1">
      <c r="R189" s="347"/>
      <c r="S189" s="347"/>
      <c r="T189" s="347"/>
      <c r="AA189" s="346"/>
      <c r="AB189" s="346"/>
      <c r="AE189" s="347"/>
      <c r="AF189" s="347"/>
      <c r="AG189" s="347"/>
      <c r="AH189" s="347"/>
      <c r="AI189" s="347"/>
      <c r="AJ189" s="347"/>
      <c r="AK189" s="347"/>
      <c r="AL189" s="347"/>
      <c r="BC189" s="350"/>
      <c r="BJ189" s="347"/>
      <c r="BK189" s="347"/>
      <c r="BL189" s="347"/>
    </row>
    <row r="190" spans="18:64" ht="69" customHeight="1">
      <c r="R190" s="347"/>
      <c r="S190" s="347"/>
      <c r="T190" s="347"/>
      <c r="AA190" s="346"/>
      <c r="AB190" s="346"/>
      <c r="AE190" s="347"/>
      <c r="AF190" s="347"/>
      <c r="AG190" s="347"/>
      <c r="AH190" s="347"/>
      <c r="AI190" s="347"/>
      <c r="AJ190" s="347"/>
      <c r="AK190" s="347"/>
      <c r="AL190" s="347"/>
      <c r="BC190" s="350"/>
      <c r="BJ190" s="347"/>
      <c r="BK190" s="347"/>
      <c r="BL190" s="347"/>
    </row>
    <row r="191" spans="18:64" ht="69" customHeight="1">
      <c r="R191" s="347"/>
      <c r="S191" s="347"/>
      <c r="T191" s="347"/>
      <c r="AA191" s="346"/>
      <c r="AB191" s="346"/>
      <c r="AE191" s="347"/>
      <c r="AF191" s="347"/>
      <c r="AG191" s="347"/>
      <c r="AH191" s="347"/>
      <c r="AI191" s="347"/>
      <c r="AJ191" s="347"/>
      <c r="AK191" s="347"/>
      <c r="AL191" s="347"/>
      <c r="BC191" s="350"/>
      <c r="BJ191" s="347"/>
      <c r="BK191" s="347"/>
      <c r="BL191" s="347"/>
    </row>
    <row r="192" spans="18:64" ht="69" customHeight="1">
      <c r="R192" s="347"/>
      <c r="S192" s="347"/>
      <c r="T192" s="347"/>
      <c r="AA192" s="346"/>
      <c r="AB192" s="346"/>
      <c r="AE192" s="347"/>
      <c r="AF192" s="347"/>
      <c r="AG192" s="347"/>
      <c r="AH192" s="347"/>
      <c r="AI192" s="347"/>
      <c r="AJ192" s="347"/>
      <c r="AK192" s="347"/>
      <c r="AL192" s="347"/>
      <c r="BC192" s="350"/>
      <c r="BJ192" s="347"/>
      <c r="BK192" s="347"/>
      <c r="BL192" s="347"/>
    </row>
    <row r="193" spans="18:64" ht="69" customHeight="1">
      <c r="R193" s="347"/>
      <c r="S193" s="347"/>
      <c r="T193" s="347"/>
      <c r="AA193" s="346"/>
      <c r="AB193" s="346"/>
      <c r="AE193" s="347"/>
      <c r="AF193" s="347"/>
      <c r="AG193" s="347"/>
      <c r="AH193" s="347"/>
      <c r="AI193" s="347"/>
      <c r="AJ193" s="347"/>
      <c r="AK193" s="347"/>
      <c r="AL193" s="347"/>
      <c r="BC193" s="350"/>
      <c r="BJ193" s="347"/>
      <c r="BK193" s="347"/>
      <c r="BL193" s="347"/>
    </row>
    <row r="194" spans="18:64" ht="69" customHeight="1">
      <c r="R194" s="347"/>
      <c r="S194" s="347"/>
      <c r="T194" s="347"/>
      <c r="AA194" s="346"/>
      <c r="AB194" s="346"/>
      <c r="AE194" s="347"/>
      <c r="AF194" s="347"/>
      <c r="AG194" s="347"/>
      <c r="AH194" s="347"/>
      <c r="AI194" s="347"/>
      <c r="AJ194" s="347"/>
      <c r="AK194" s="347"/>
      <c r="AL194" s="347"/>
      <c r="BC194" s="350"/>
      <c r="BJ194" s="347"/>
      <c r="BK194" s="347"/>
      <c r="BL194" s="347"/>
    </row>
    <row r="195" spans="18:64" ht="69" customHeight="1">
      <c r="R195" s="347"/>
      <c r="S195" s="347"/>
      <c r="T195" s="347"/>
      <c r="AA195" s="346"/>
      <c r="AB195" s="346"/>
      <c r="AE195" s="347"/>
      <c r="AF195" s="347"/>
      <c r="AG195" s="347"/>
      <c r="AH195" s="347"/>
      <c r="AI195" s="347"/>
      <c r="AJ195" s="347"/>
      <c r="AK195" s="347"/>
      <c r="AL195" s="347"/>
      <c r="BC195" s="350"/>
      <c r="BJ195" s="347"/>
      <c r="BK195" s="347"/>
      <c r="BL195" s="347"/>
    </row>
    <row r="196" spans="18:64" ht="69" customHeight="1">
      <c r="R196" s="347"/>
      <c r="S196" s="347"/>
      <c r="T196" s="347"/>
      <c r="AA196" s="346"/>
      <c r="AB196" s="346"/>
      <c r="AE196" s="347"/>
      <c r="AF196" s="347"/>
      <c r="AG196" s="347"/>
      <c r="AH196" s="347"/>
      <c r="AI196" s="347"/>
      <c r="AJ196" s="347"/>
      <c r="AK196" s="347"/>
      <c r="AL196" s="347"/>
      <c r="BC196" s="350"/>
      <c r="BJ196" s="347"/>
      <c r="BK196" s="347"/>
      <c r="BL196" s="347"/>
    </row>
    <row r="197" spans="18:64" ht="69" customHeight="1">
      <c r="R197" s="347"/>
      <c r="S197" s="347"/>
      <c r="T197" s="347"/>
      <c r="AA197" s="346"/>
      <c r="AB197" s="346"/>
      <c r="AE197" s="347"/>
      <c r="AF197" s="347"/>
      <c r="AG197" s="347"/>
      <c r="AH197" s="347"/>
      <c r="AI197" s="347"/>
      <c r="AJ197" s="347"/>
      <c r="AK197" s="347"/>
      <c r="AL197" s="347"/>
      <c r="BC197" s="350"/>
      <c r="BJ197" s="347"/>
      <c r="BK197" s="347"/>
      <c r="BL197" s="347"/>
    </row>
    <row r="198" spans="18:64" ht="69" customHeight="1">
      <c r="R198" s="347"/>
      <c r="S198" s="347"/>
      <c r="T198" s="347"/>
      <c r="AA198" s="346"/>
      <c r="AB198" s="346"/>
      <c r="AE198" s="347"/>
      <c r="AF198" s="347"/>
      <c r="AG198" s="347"/>
      <c r="AH198" s="347"/>
      <c r="AI198" s="347"/>
      <c r="AJ198" s="347"/>
      <c r="AK198" s="347"/>
      <c r="AL198" s="347"/>
      <c r="BC198" s="350"/>
      <c r="BJ198" s="347"/>
      <c r="BK198" s="347"/>
      <c r="BL198" s="347"/>
    </row>
    <row r="199" spans="18:64" ht="69" customHeight="1">
      <c r="R199" s="347"/>
      <c r="S199" s="347"/>
      <c r="T199" s="347"/>
      <c r="AA199" s="346"/>
      <c r="AB199" s="346"/>
      <c r="AE199" s="347"/>
      <c r="AF199" s="347"/>
      <c r="AG199" s="347"/>
      <c r="AH199" s="347"/>
      <c r="AI199" s="347"/>
      <c r="AJ199" s="347"/>
      <c r="AK199" s="347"/>
      <c r="AL199" s="347"/>
      <c r="BC199" s="350"/>
      <c r="BJ199" s="347"/>
      <c r="BK199" s="347"/>
      <c r="BL199" s="347"/>
    </row>
    <row r="200" spans="18:64" ht="69" customHeight="1">
      <c r="R200" s="347"/>
      <c r="S200" s="347"/>
      <c r="T200" s="347"/>
      <c r="AA200" s="346"/>
      <c r="AB200" s="346"/>
      <c r="AE200" s="347"/>
      <c r="AF200" s="347"/>
      <c r="AG200" s="347"/>
      <c r="AH200" s="347"/>
      <c r="AI200" s="347"/>
      <c r="AJ200" s="347"/>
      <c r="AK200" s="347"/>
      <c r="AL200" s="347"/>
      <c r="BC200" s="350"/>
      <c r="BJ200" s="347"/>
      <c r="BK200" s="347"/>
      <c r="BL200" s="347"/>
    </row>
    <row r="201" spans="18:64" ht="69" customHeight="1">
      <c r="R201" s="347"/>
      <c r="S201" s="347"/>
      <c r="T201" s="347"/>
      <c r="AA201" s="346"/>
      <c r="AB201" s="346"/>
      <c r="AE201" s="347"/>
      <c r="AF201" s="347"/>
      <c r="AG201" s="347"/>
      <c r="AH201" s="347"/>
      <c r="AI201" s="347"/>
      <c r="AJ201" s="347"/>
      <c r="AK201" s="347"/>
      <c r="AL201" s="347"/>
      <c r="BC201" s="350"/>
      <c r="BJ201" s="347"/>
      <c r="BK201" s="347"/>
      <c r="BL201" s="347"/>
    </row>
    <row r="202" spans="18:64" ht="69" customHeight="1">
      <c r="R202" s="347"/>
      <c r="S202" s="347"/>
      <c r="T202" s="347"/>
      <c r="AA202" s="346"/>
      <c r="AB202" s="346"/>
      <c r="AE202" s="347"/>
      <c r="AF202" s="347"/>
      <c r="AG202" s="347"/>
      <c r="AH202" s="347"/>
      <c r="AI202" s="347"/>
      <c r="AJ202" s="347"/>
      <c r="AK202" s="347"/>
      <c r="AL202" s="347"/>
      <c r="BC202" s="350"/>
      <c r="BJ202" s="347"/>
      <c r="BK202" s="347"/>
      <c r="BL202" s="347"/>
    </row>
    <row r="203" spans="18:64" ht="69" customHeight="1">
      <c r="R203" s="347"/>
      <c r="S203" s="347"/>
      <c r="T203" s="347"/>
      <c r="AA203" s="346"/>
      <c r="AB203" s="346"/>
      <c r="AE203" s="347"/>
      <c r="AF203" s="347"/>
      <c r="AG203" s="347"/>
      <c r="AH203" s="347"/>
      <c r="AI203" s="347"/>
      <c r="AJ203" s="347"/>
      <c r="AK203" s="347"/>
      <c r="AL203" s="347"/>
      <c r="BC203" s="350"/>
      <c r="BJ203" s="347"/>
      <c r="BK203" s="347"/>
      <c r="BL203" s="347"/>
    </row>
    <row r="204" spans="18:64" ht="69" customHeight="1">
      <c r="R204" s="347"/>
      <c r="S204" s="347"/>
      <c r="T204" s="347"/>
      <c r="AA204" s="346"/>
      <c r="AB204" s="346"/>
      <c r="AE204" s="347"/>
      <c r="AF204" s="347"/>
      <c r="AG204" s="347"/>
      <c r="AH204" s="347"/>
      <c r="AI204" s="347"/>
      <c r="AJ204" s="347"/>
      <c r="AK204" s="347"/>
      <c r="AL204" s="347"/>
      <c r="BC204" s="350"/>
      <c r="BJ204" s="347"/>
      <c r="BK204" s="347"/>
      <c r="BL204" s="347"/>
    </row>
    <row r="205" spans="18:64" ht="69" customHeight="1">
      <c r="R205" s="347"/>
      <c r="S205" s="347"/>
      <c r="T205" s="347"/>
      <c r="AA205" s="346"/>
      <c r="AB205" s="346"/>
      <c r="AE205" s="347"/>
      <c r="AF205" s="347"/>
      <c r="AG205" s="347"/>
      <c r="AH205" s="347"/>
      <c r="AI205" s="347"/>
      <c r="AJ205" s="347"/>
      <c r="AK205" s="347"/>
      <c r="AL205" s="347"/>
      <c r="BC205" s="350"/>
      <c r="BJ205" s="347"/>
      <c r="BK205" s="347"/>
      <c r="BL205" s="347"/>
    </row>
    <row r="206" spans="18:64" ht="69" customHeight="1">
      <c r="R206" s="347"/>
      <c r="S206" s="347"/>
      <c r="T206" s="347"/>
      <c r="AA206" s="346"/>
      <c r="AB206" s="346"/>
      <c r="AE206" s="347"/>
      <c r="AF206" s="347"/>
      <c r="AG206" s="347"/>
      <c r="AH206" s="347"/>
      <c r="AI206" s="347"/>
      <c r="AJ206" s="347"/>
      <c r="AK206" s="347"/>
      <c r="AL206" s="347"/>
      <c r="BC206" s="350"/>
      <c r="BJ206" s="347"/>
      <c r="BK206" s="347"/>
      <c r="BL206" s="347"/>
    </row>
    <row r="207" spans="18:64" ht="69" customHeight="1">
      <c r="R207" s="347"/>
      <c r="S207" s="347"/>
      <c r="T207" s="347"/>
      <c r="AA207" s="346"/>
      <c r="AB207" s="346"/>
      <c r="AE207" s="347"/>
      <c r="AF207" s="347"/>
      <c r="AG207" s="347"/>
      <c r="AH207" s="347"/>
      <c r="AI207" s="347"/>
      <c r="AJ207" s="347"/>
      <c r="AK207" s="347"/>
      <c r="AL207" s="347"/>
      <c r="BC207" s="350"/>
      <c r="BJ207" s="347"/>
      <c r="BK207" s="347"/>
      <c r="BL207" s="347"/>
    </row>
    <row r="208" spans="18:64" ht="69" customHeight="1">
      <c r="R208" s="347"/>
      <c r="S208" s="347"/>
      <c r="T208" s="347"/>
      <c r="AA208" s="346"/>
      <c r="AB208" s="346"/>
      <c r="AE208" s="347"/>
      <c r="AF208" s="347"/>
      <c r="AG208" s="347"/>
      <c r="AH208" s="347"/>
      <c r="AI208" s="347"/>
      <c r="AJ208" s="347"/>
      <c r="AK208" s="347"/>
      <c r="AL208" s="347"/>
      <c r="BC208" s="350"/>
      <c r="BJ208" s="347"/>
      <c r="BK208" s="347"/>
      <c r="BL208" s="347"/>
    </row>
    <row r="209" spans="18:64" ht="69" customHeight="1">
      <c r="R209" s="347"/>
      <c r="S209" s="347"/>
      <c r="T209" s="347"/>
      <c r="AA209" s="346"/>
      <c r="AB209" s="346"/>
      <c r="AE209" s="347"/>
      <c r="AF209" s="347"/>
      <c r="AG209" s="347"/>
      <c r="AH209" s="347"/>
      <c r="AI209" s="347"/>
      <c r="AJ209" s="347"/>
      <c r="AK209" s="347"/>
      <c r="AL209" s="347"/>
      <c r="BC209" s="350"/>
      <c r="BJ209" s="347"/>
      <c r="BK209" s="347"/>
      <c r="BL209" s="347"/>
    </row>
    <row r="210" spans="18:64" ht="69" customHeight="1">
      <c r="R210" s="347"/>
      <c r="S210" s="347"/>
      <c r="T210" s="347"/>
      <c r="AA210" s="346"/>
      <c r="AB210" s="346"/>
      <c r="AE210" s="347"/>
      <c r="AF210" s="347"/>
      <c r="AG210" s="347"/>
      <c r="AH210" s="347"/>
      <c r="AI210" s="347"/>
      <c r="AJ210" s="347"/>
      <c r="AK210" s="347"/>
      <c r="AL210" s="347"/>
      <c r="BC210" s="350"/>
      <c r="BJ210" s="347"/>
      <c r="BK210" s="347"/>
      <c r="BL210" s="347"/>
    </row>
    <row r="211" spans="18:64" ht="69" customHeight="1">
      <c r="R211" s="347"/>
      <c r="S211" s="347"/>
      <c r="T211" s="347"/>
      <c r="AA211" s="346"/>
      <c r="AB211" s="346"/>
      <c r="AE211" s="347"/>
      <c r="AF211" s="347"/>
      <c r="AG211" s="347"/>
      <c r="AH211" s="347"/>
      <c r="AI211" s="347"/>
      <c r="AJ211" s="347"/>
      <c r="AK211" s="347"/>
      <c r="AL211" s="347"/>
      <c r="BC211" s="350"/>
      <c r="BJ211" s="347"/>
      <c r="BK211" s="347"/>
      <c r="BL211" s="347"/>
    </row>
    <row r="212" spans="18:64" ht="69" customHeight="1">
      <c r="R212" s="347"/>
      <c r="S212" s="347"/>
      <c r="T212" s="347"/>
      <c r="AA212" s="346"/>
      <c r="AB212" s="346"/>
      <c r="AE212" s="347"/>
      <c r="AF212" s="347"/>
      <c r="AG212" s="347"/>
      <c r="AH212" s="347"/>
      <c r="AI212" s="347"/>
      <c r="AJ212" s="347"/>
      <c r="AK212" s="347"/>
      <c r="AL212" s="347"/>
      <c r="BC212" s="350"/>
      <c r="BJ212" s="347"/>
      <c r="BK212" s="347"/>
      <c r="BL212" s="347"/>
    </row>
    <row r="213" spans="18:64" ht="69" customHeight="1">
      <c r="R213" s="347"/>
      <c r="S213" s="347"/>
      <c r="T213" s="347"/>
      <c r="AA213" s="346"/>
      <c r="AB213" s="346"/>
      <c r="AE213" s="347"/>
      <c r="AF213" s="347"/>
      <c r="AG213" s="347"/>
      <c r="AH213" s="347"/>
      <c r="AI213" s="347"/>
      <c r="AJ213" s="347"/>
      <c r="AK213" s="347"/>
      <c r="AL213" s="347"/>
      <c r="BC213" s="350"/>
      <c r="BJ213" s="347"/>
      <c r="BK213" s="347"/>
      <c r="BL213" s="347"/>
    </row>
    <row r="214" spans="18:64" ht="69" customHeight="1">
      <c r="R214" s="347"/>
      <c r="S214" s="347"/>
      <c r="T214" s="347"/>
      <c r="AA214" s="346"/>
      <c r="AB214" s="346"/>
      <c r="AE214" s="347"/>
      <c r="AF214" s="347"/>
      <c r="AG214" s="347"/>
      <c r="AH214" s="347"/>
      <c r="AI214" s="347"/>
      <c r="AJ214" s="347"/>
      <c r="AK214" s="347"/>
      <c r="AL214" s="347"/>
      <c r="BC214" s="350"/>
      <c r="BJ214" s="347"/>
      <c r="BK214" s="347"/>
      <c r="BL214" s="347"/>
    </row>
    <row r="215" spans="18:64" ht="69" customHeight="1">
      <c r="R215" s="347"/>
      <c r="S215" s="347"/>
      <c r="T215" s="347"/>
      <c r="AA215" s="346"/>
      <c r="AB215" s="346"/>
      <c r="AE215" s="347"/>
      <c r="AF215" s="347"/>
      <c r="AG215" s="347"/>
      <c r="AH215" s="347"/>
      <c r="AI215" s="347"/>
      <c r="AJ215" s="347"/>
      <c r="AK215" s="347"/>
      <c r="AL215" s="347"/>
      <c r="BC215" s="350"/>
      <c r="BJ215" s="347"/>
      <c r="BK215" s="347"/>
      <c r="BL215" s="347"/>
    </row>
    <row r="216" spans="18:64" ht="69" customHeight="1">
      <c r="R216" s="347"/>
      <c r="S216" s="347"/>
      <c r="T216" s="347"/>
      <c r="AA216" s="346"/>
      <c r="AB216" s="346"/>
      <c r="AE216" s="347"/>
      <c r="AF216" s="347"/>
      <c r="AG216" s="347"/>
      <c r="AH216" s="347"/>
      <c r="AI216" s="347"/>
      <c r="AJ216" s="347"/>
      <c r="AK216" s="347"/>
      <c r="AL216" s="347"/>
      <c r="BC216" s="350"/>
      <c r="BJ216" s="347"/>
      <c r="BK216" s="347"/>
      <c r="BL216" s="347"/>
    </row>
    <row r="217" spans="18:64" ht="69" customHeight="1">
      <c r="R217" s="347"/>
      <c r="S217" s="347"/>
      <c r="T217" s="347"/>
      <c r="AA217" s="346"/>
      <c r="AB217" s="346"/>
      <c r="AE217" s="347"/>
      <c r="AF217" s="347"/>
      <c r="AG217" s="347"/>
      <c r="AH217" s="347"/>
      <c r="AI217" s="347"/>
      <c r="AJ217" s="347"/>
      <c r="AK217" s="347"/>
      <c r="AL217" s="347"/>
      <c r="BC217" s="350"/>
      <c r="BJ217" s="347"/>
      <c r="BK217" s="347"/>
      <c r="BL217" s="347"/>
    </row>
    <row r="218" spans="18:64" ht="69" customHeight="1">
      <c r="R218" s="347"/>
      <c r="S218" s="347"/>
      <c r="T218" s="347"/>
      <c r="AA218" s="346"/>
      <c r="AB218" s="346"/>
      <c r="AE218" s="347"/>
      <c r="AF218" s="347"/>
      <c r="AG218" s="347"/>
      <c r="AH218" s="347"/>
      <c r="AI218" s="347"/>
      <c r="AJ218" s="347"/>
      <c r="AK218" s="347"/>
      <c r="AL218" s="347"/>
      <c r="BC218" s="350"/>
      <c r="BJ218" s="347"/>
      <c r="BK218" s="347"/>
      <c r="BL218" s="347"/>
    </row>
    <row r="219" spans="18:64" ht="69" customHeight="1">
      <c r="R219" s="347"/>
      <c r="S219" s="347"/>
      <c r="T219" s="347"/>
      <c r="AA219" s="346"/>
      <c r="AB219" s="346"/>
      <c r="AE219" s="347"/>
      <c r="AF219" s="347"/>
      <c r="AG219" s="347"/>
      <c r="AH219" s="347"/>
      <c r="AI219" s="347"/>
      <c r="AJ219" s="347"/>
      <c r="AK219" s="347"/>
      <c r="AL219" s="347"/>
      <c r="BC219" s="350"/>
      <c r="BJ219" s="347"/>
      <c r="BK219" s="347"/>
      <c r="BL219" s="347"/>
    </row>
    <row r="220" spans="18:64" ht="69" customHeight="1">
      <c r="R220" s="347"/>
      <c r="S220" s="347"/>
      <c r="T220" s="347"/>
      <c r="AA220" s="346"/>
      <c r="AB220" s="346"/>
      <c r="AE220" s="347"/>
      <c r="AF220" s="347"/>
      <c r="AG220" s="347"/>
      <c r="AH220" s="347"/>
      <c r="AI220" s="347"/>
      <c r="AJ220" s="347"/>
      <c r="AK220" s="347"/>
      <c r="AL220" s="347"/>
      <c r="BC220" s="350"/>
      <c r="BJ220" s="347"/>
      <c r="BK220" s="347"/>
      <c r="BL220" s="347"/>
    </row>
    <row r="221" spans="18:64" ht="69" customHeight="1">
      <c r="R221" s="347"/>
      <c r="S221" s="347"/>
      <c r="T221" s="347"/>
      <c r="AA221" s="346"/>
      <c r="AB221" s="346"/>
      <c r="AE221" s="347"/>
      <c r="AF221" s="347"/>
      <c r="AG221" s="347"/>
      <c r="AH221" s="347"/>
      <c r="AI221" s="347"/>
      <c r="AJ221" s="347"/>
      <c r="AK221" s="347"/>
      <c r="AL221" s="347"/>
      <c r="BC221" s="350"/>
      <c r="BJ221" s="347"/>
      <c r="BK221" s="347"/>
      <c r="BL221" s="347"/>
    </row>
    <row r="222" spans="18:64" ht="69" customHeight="1">
      <c r="R222" s="347"/>
      <c r="S222" s="347"/>
      <c r="T222" s="347"/>
      <c r="AA222" s="346"/>
      <c r="AB222" s="346"/>
      <c r="AE222" s="347"/>
      <c r="AF222" s="347"/>
      <c r="AG222" s="347"/>
      <c r="AH222" s="347"/>
      <c r="AI222" s="347"/>
      <c r="AJ222" s="347"/>
      <c r="AK222" s="347"/>
      <c r="AL222" s="347"/>
      <c r="BC222" s="350"/>
      <c r="BJ222" s="347"/>
      <c r="BK222" s="347"/>
      <c r="BL222" s="347"/>
    </row>
    <row r="223" spans="18:64" ht="69" customHeight="1">
      <c r="R223" s="347"/>
      <c r="S223" s="347"/>
      <c r="T223" s="347"/>
      <c r="AA223" s="346"/>
      <c r="AB223" s="346"/>
      <c r="AE223" s="347"/>
      <c r="AF223" s="347"/>
      <c r="AG223" s="347"/>
      <c r="AH223" s="347"/>
      <c r="AI223" s="347"/>
      <c r="AJ223" s="347"/>
      <c r="AK223" s="347"/>
      <c r="AL223" s="347"/>
      <c r="BC223" s="350"/>
      <c r="BJ223" s="347"/>
      <c r="BK223" s="347"/>
      <c r="BL223" s="347"/>
    </row>
    <row r="224" spans="18:64" ht="69" customHeight="1">
      <c r="R224" s="347"/>
      <c r="S224" s="347"/>
      <c r="T224" s="347"/>
      <c r="AA224" s="346"/>
      <c r="AB224" s="346"/>
      <c r="AE224" s="347"/>
      <c r="AF224" s="347"/>
      <c r="AG224" s="347"/>
      <c r="AH224" s="347"/>
      <c r="AI224" s="347"/>
      <c r="AJ224" s="347"/>
      <c r="AK224" s="347"/>
      <c r="AL224" s="347"/>
      <c r="BC224" s="350"/>
      <c r="BJ224" s="347"/>
      <c r="BK224" s="347"/>
      <c r="BL224" s="347"/>
    </row>
    <row r="225" spans="18:64" ht="69" customHeight="1">
      <c r="R225" s="347"/>
      <c r="S225" s="347"/>
      <c r="T225" s="347"/>
      <c r="AA225" s="346"/>
      <c r="AB225" s="346"/>
      <c r="AE225" s="347"/>
      <c r="AF225" s="347"/>
      <c r="AG225" s="347"/>
      <c r="AH225" s="347"/>
      <c r="AI225" s="347"/>
      <c r="AJ225" s="347"/>
      <c r="AK225" s="347"/>
      <c r="AL225" s="347"/>
      <c r="BC225" s="350"/>
      <c r="BJ225" s="347"/>
      <c r="BK225" s="347"/>
      <c r="BL225" s="347"/>
    </row>
    <row r="226" spans="18:64" ht="69" customHeight="1">
      <c r="R226" s="347"/>
      <c r="S226" s="347"/>
      <c r="T226" s="347"/>
      <c r="AA226" s="346"/>
      <c r="AB226" s="346"/>
      <c r="AE226" s="347"/>
      <c r="AF226" s="347"/>
      <c r="AG226" s="347"/>
      <c r="AH226" s="347"/>
      <c r="AI226" s="347"/>
      <c r="AJ226" s="347"/>
      <c r="AK226" s="347"/>
      <c r="AL226" s="347"/>
      <c r="BC226" s="350"/>
      <c r="BJ226" s="347"/>
      <c r="BK226" s="347"/>
      <c r="BL226" s="347"/>
    </row>
    <row r="227" spans="18:64" ht="69" customHeight="1">
      <c r="R227" s="347"/>
      <c r="S227" s="347"/>
      <c r="T227" s="347"/>
      <c r="AA227" s="346"/>
      <c r="AB227" s="346"/>
      <c r="AE227" s="347"/>
      <c r="AF227" s="347"/>
      <c r="AG227" s="347"/>
      <c r="AH227" s="347"/>
      <c r="AI227" s="347"/>
      <c r="AJ227" s="347"/>
      <c r="AK227" s="347"/>
      <c r="AL227" s="347"/>
      <c r="BC227" s="350"/>
      <c r="BJ227" s="347"/>
      <c r="BK227" s="347"/>
      <c r="BL227" s="347"/>
    </row>
    <row r="228" spans="18:64" ht="69" customHeight="1">
      <c r="R228" s="347"/>
      <c r="S228" s="347"/>
      <c r="T228" s="347"/>
      <c r="AA228" s="346"/>
      <c r="AB228" s="346"/>
      <c r="AE228" s="347"/>
      <c r="AF228" s="347"/>
      <c r="AG228" s="347"/>
      <c r="AH228" s="347"/>
      <c r="AI228" s="347"/>
      <c r="AJ228" s="347"/>
      <c r="AK228" s="347"/>
      <c r="AL228" s="347"/>
      <c r="BC228" s="350"/>
      <c r="BJ228" s="347"/>
      <c r="BK228" s="347"/>
      <c r="BL228" s="347"/>
    </row>
    <row r="229" spans="18:64" ht="69" customHeight="1">
      <c r="R229" s="347"/>
      <c r="S229" s="347"/>
      <c r="T229" s="347"/>
      <c r="AA229" s="346"/>
      <c r="AB229" s="346"/>
      <c r="AE229" s="347"/>
      <c r="AF229" s="347"/>
      <c r="AG229" s="347"/>
      <c r="AH229" s="347"/>
      <c r="AI229" s="347"/>
      <c r="AJ229" s="347"/>
      <c r="AK229" s="347"/>
      <c r="AL229" s="347"/>
      <c r="BC229" s="350"/>
      <c r="BJ229" s="347"/>
      <c r="BK229" s="347"/>
      <c r="BL229" s="347"/>
    </row>
    <row r="230" spans="18:64" ht="69" customHeight="1">
      <c r="R230" s="347"/>
      <c r="S230" s="347"/>
      <c r="T230" s="347"/>
      <c r="AA230" s="346"/>
      <c r="AB230" s="346"/>
      <c r="AE230" s="347"/>
      <c r="AF230" s="347"/>
      <c r="AG230" s="347"/>
      <c r="AH230" s="347"/>
      <c r="AI230" s="347"/>
      <c r="AJ230" s="347"/>
      <c r="AK230" s="347"/>
      <c r="AL230" s="347"/>
      <c r="BC230" s="350"/>
      <c r="BJ230" s="347"/>
      <c r="BK230" s="347"/>
      <c r="BL230" s="347"/>
    </row>
    <row r="231" spans="18:64" ht="69" customHeight="1">
      <c r="R231" s="347"/>
      <c r="S231" s="347"/>
      <c r="T231" s="347"/>
      <c r="AA231" s="346"/>
      <c r="AB231" s="346"/>
      <c r="AE231" s="347"/>
      <c r="AF231" s="347"/>
      <c r="AG231" s="347"/>
      <c r="AH231" s="347"/>
      <c r="AI231" s="347"/>
      <c r="AJ231" s="347"/>
      <c r="AK231" s="347"/>
      <c r="AL231" s="347"/>
      <c r="BC231" s="350"/>
      <c r="BJ231" s="347"/>
      <c r="BK231" s="347"/>
      <c r="BL231" s="347"/>
    </row>
    <row r="232" spans="18:64" ht="69" customHeight="1">
      <c r="R232" s="347"/>
      <c r="S232" s="347"/>
      <c r="T232" s="347"/>
      <c r="AA232" s="346"/>
      <c r="AB232" s="346"/>
      <c r="AE232" s="347"/>
      <c r="AF232" s="347"/>
      <c r="AG232" s="347"/>
      <c r="AH232" s="347"/>
      <c r="AI232" s="347"/>
      <c r="AJ232" s="347"/>
      <c r="AK232" s="347"/>
      <c r="AL232" s="347"/>
      <c r="BC232" s="350"/>
      <c r="BJ232" s="347"/>
      <c r="BK232" s="347"/>
      <c r="BL232" s="347"/>
    </row>
    <row r="233" spans="18:64" ht="69" customHeight="1">
      <c r="R233" s="347"/>
      <c r="S233" s="347"/>
      <c r="T233" s="347"/>
      <c r="AA233" s="346"/>
      <c r="AB233" s="346"/>
      <c r="AE233" s="347"/>
      <c r="AF233" s="347"/>
      <c r="AG233" s="347"/>
      <c r="AH233" s="347"/>
      <c r="AI233" s="347"/>
      <c r="AJ233" s="347"/>
      <c r="AK233" s="347"/>
      <c r="AL233" s="347"/>
      <c r="BC233" s="350"/>
      <c r="BJ233" s="347"/>
      <c r="BK233" s="347"/>
      <c r="BL233" s="347"/>
    </row>
    <row r="234" spans="18:64" ht="69" customHeight="1">
      <c r="R234" s="347"/>
      <c r="S234" s="347"/>
      <c r="T234" s="347"/>
      <c r="AA234" s="346"/>
      <c r="AB234" s="346"/>
      <c r="AE234" s="347"/>
      <c r="AF234" s="347"/>
      <c r="AG234" s="347"/>
      <c r="AH234" s="347"/>
      <c r="AI234" s="347"/>
      <c r="AJ234" s="347"/>
      <c r="AK234" s="347"/>
      <c r="AL234" s="347"/>
      <c r="BC234" s="350"/>
      <c r="BJ234" s="347"/>
      <c r="BK234" s="347"/>
      <c r="BL234" s="347"/>
    </row>
    <row r="235" spans="18:64" ht="69" customHeight="1">
      <c r="R235" s="347"/>
      <c r="S235" s="347"/>
      <c r="T235" s="347"/>
      <c r="AA235" s="346"/>
      <c r="AB235" s="346"/>
      <c r="AE235" s="347"/>
      <c r="AF235" s="347"/>
      <c r="AG235" s="347"/>
      <c r="AH235" s="347"/>
      <c r="AI235" s="347"/>
      <c r="AJ235" s="347"/>
      <c r="AK235" s="347"/>
      <c r="AL235" s="347"/>
      <c r="BC235" s="350"/>
      <c r="BJ235" s="347"/>
      <c r="BK235" s="347"/>
      <c r="BL235" s="347"/>
    </row>
    <row r="236" spans="18:64" ht="69" customHeight="1">
      <c r="R236" s="347"/>
      <c r="S236" s="347"/>
      <c r="T236" s="347"/>
      <c r="AA236" s="346"/>
      <c r="AB236" s="346"/>
      <c r="AE236" s="347"/>
      <c r="AF236" s="347"/>
      <c r="AG236" s="347"/>
      <c r="AH236" s="347"/>
      <c r="AI236" s="347"/>
      <c r="AJ236" s="347"/>
      <c r="AK236" s="347"/>
      <c r="AL236" s="347"/>
      <c r="BC236" s="350"/>
      <c r="BJ236" s="347"/>
      <c r="BK236" s="347"/>
      <c r="BL236" s="347"/>
    </row>
    <row r="237" spans="18:64" ht="69" customHeight="1">
      <c r="R237" s="347"/>
      <c r="S237" s="347"/>
      <c r="T237" s="347"/>
      <c r="AA237" s="346"/>
      <c r="AB237" s="346"/>
      <c r="AE237" s="347"/>
      <c r="AF237" s="347"/>
      <c r="AG237" s="347"/>
      <c r="AH237" s="347"/>
      <c r="AI237" s="347"/>
      <c r="AJ237" s="347"/>
      <c r="AK237" s="347"/>
      <c r="AL237" s="347"/>
      <c r="BC237" s="350"/>
      <c r="BJ237" s="347"/>
      <c r="BK237" s="347"/>
      <c r="BL237" s="347"/>
    </row>
    <row r="238" spans="18:64" ht="69" customHeight="1">
      <c r="R238" s="347"/>
      <c r="S238" s="347"/>
      <c r="T238" s="347"/>
      <c r="AA238" s="346"/>
      <c r="AB238" s="346"/>
      <c r="AE238" s="347"/>
      <c r="AF238" s="347"/>
      <c r="AG238" s="347"/>
      <c r="AH238" s="347"/>
      <c r="AI238" s="347"/>
      <c r="AJ238" s="347"/>
      <c r="AK238" s="347"/>
      <c r="AL238" s="347"/>
      <c r="BC238" s="350"/>
      <c r="BJ238" s="347"/>
      <c r="BK238" s="347"/>
      <c r="BL238" s="347"/>
    </row>
    <row r="239" spans="18:64" ht="69" customHeight="1">
      <c r="R239" s="347"/>
      <c r="S239" s="347"/>
      <c r="T239" s="347"/>
      <c r="AA239" s="346"/>
      <c r="AB239" s="346"/>
      <c r="AE239" s="347"/>
      <c r="AF239" s="347"/>
      <c r="AG239" s="347"/>
      <c r="AH239" s="347"/>
      <c r="AI239" s="347"/>
      <c r="AJ239" s="347"/>
      <c r="AK239" s="347"/>
      <c r="AL239" s="347"/>
      <c r="BC239" s="350"/>
      <c r="BJ239" s="347"/>
      <c r="BK239" s="347"/>
      <c r="BL239" s="347"/>
    </row>
    <row r="240" spans="18:64" ht="69" customHeight="1">
      <c r="R240" s="347"/>
      <c r="S240" s="347"/>
      <c r="T240" s="347"/>
      <c r="AA240" s="346"/>
      <c r="AB240" s="346"/>
      <c r="AE240" s="347"/>
      <c r="AF240" s="347"/>
      <c r="AG240" s="347"/>
      <c r="AH240" s="347"/>
      <c r="AI240" s="347"/>
      <c r="AJ240" s="347"/>
      <c r="AK240" s="347"/>
      <c r="AL240" s="347"/>
      <c r="BC240" s="350"/>
      <c r="BJ240" s="347"/>
      <c r="BK240" s="347"/>
      <c r="BL240" s="347"/>
    </row>
    <row r="241" spans="18:64" ht="69" customHeight="1">
      <c r="R241" s="347"/>
      <c r="S241" s="347"/>
      <c r="T241" s="347"/>
      <c r="AA241" s="346"/>
      <c r="AB241" s="346"/>
      <c r="AE241" s="347"/>
      <c r="AF241" s="347"/>
      <c r="AG241" s="347"/>
      <c r="AH241" s="347"/>
      <c r="AI241" s="347"/>
      <c r="AJ241" s="347"/>
      <c r="AK241" s="347"/>
      <c r="AL241" s="347"/>
      <c r="BC241" s="350"/>
      <c r="BJ241" s="347"/>
      <c r="BK241" s="347"/>
      <c r="BL241" s="347"/>
    </row>
    <row r="242" spans="18:64" ht="69" customHeight="1">
      <c r="R242" s="347"/>
      <c r="S242" s="347"/>
      <c r="T242" s="347"/>
      <c r="AA242" s="346"/>
      <c r="AB242" s="346"/>
      <c r="AE242" s="347"/>
      <c r="AF242" s="347"/>
      <c r="AG242" s="347"/>
      <c r="AH242" s="347"/>
      <c r="AI242" s="347"/>
      <c r="AJ242" s="347"/>
      <c r="AK242" s="347"/>
      <c r="AL242" s="347"/>
      <c r="BC242" s="350"/>
      <c r="BJ242" s="347"/>
      <c r="BK242" s="347"/>
      <c r="BL242" s="347"/>
    </row>
    <row r="243" spans="18:64" ht="69" customHeight="1">
      <c r="R243" s="347"/>
      <c r="S243" s="347"/>
      <c r="T243" s="347"/>
      <c r="AA243" s="346"/>
      <c r="AB243" s="346"/>
      <c r="AE243" s="347"/>
      <c r="AF243" s="347"/>
      <c r="AG243" s="347"/>
      <c r="AH243" s="347"/>
      <c r="AI243" s="347"/>
      <c r="AJ243" s="347"/>
      <c r="AK243" s="347"/>
      <c r="AL243" s="347"/>
      <c r="BC243" s="350"/>
      <c r="BJ243" s="347"/>
      <c r="BK243" s="347"/>
      <c r="BL243" s="347"/>
    </row>
    <row r="244" spans="18:64" ht="69" customHeight="1">
      <c r="R244" s="347"/>
      <c r="S244" s="347"/>
      <c r="T244" s="347"/>
      <c r="AA244" s="346"/>
      <c r="AB244" s="346"/>
      <c r="AE244" s="347"/>
      <c r="AF244" s="347"/>
      <c r="AG244" s="347"/>
      <c r="AH244" s="347"/>
      <c r="AI244" s="347"/>
      <c r="AJ244" s="347"/>
      <c r="AK244" s="347"/>
      <c r="AL244" s="347"/>
      <c r="BC244" s="350"/>
      <c r="BJ244" s="347"/>
      <c r="BK244" s="347"/>
      <c r="BL244" s="347"/>
    </row>
    <row r="245" spans="18:64" ht="69" customHeight="1">
      <c r="R245" s="347"/>
      <c r="S245" s="347"/>
      <c r="T245" s="347"/>
      <c r="AA245" s="346"/>
      <c r="AB245" s="346"/>
      <c r="AE245" s="347"/>
      <c r="AF245" s="347"/>
      <c r="AG245" s="347"/>
      <c r="AH245" s="347"/>
      <c r="AI245" s="347"/>
      <c r="AJ245" s="347"/>
      <c r="AK245" s="347"/>
      <c r="AL245" s="347"/>
      <c r="BC245" s="350"/>
      <c r="BJ245" s="347"/>
      <c r="BK245" s="347"/>
      <c r="BL245" s="347"/>
    </row>
    <row r="246" spans="18:64" ht="69" customHeight="1">
      <c r="R246" s="347"/>
      <c r="S246" s="347"/>
      <c r="T246" s="347"/>
      <c r="AA246" s="346"/>
      <c r="AB246" s="346"/>
      <c r="AE246" s="347"/>
      <c r="AF246" s="347"/>
      <c r="AG246" s="347"/>
      <c r="AH246" s="347"/>
      <c r="AI246" s="347"/>
      <c r="AJ246" s="347"/>
      <c r="AK246" s="347"/>
      <c r="AL246" s="347"/>
      <c r="BC246" s="350"/>
      <c r="BJ246" s="347"/>
      <c r="BK246" s="347"/>
      <c r="BL246" s="347"/>
    </row>
    <row r="247" spans="18:64" ht="69" customHeight="1">
      <c r="R247" s="347"/>
      <c r="S247" s="347"/>
      <c r="T247" s="347"/>
      <c r="AA247" s="346"/>
      <c r="AB247" s="346"/>
      <c r="AE247" s="347"/>
      <c r="AF247" s="347"/>
      <c r="AG247" s="347"/>
      <c r="AH247" s="347"/>
      <c r="AI247" s="347"/>
      <c r="AJ247" s="347"/>
      <c r="AK247" s="347"/>
      <c r="AL247" s="347"/>
      <c r="BC247" s="350"/>
      <c r="BJ247" s="347"/>
      <c r="BK247" s="347"/>
      <c r="BL247" s="347"/>
    </row>
    <row r="248" spans="18:64" ht="69" customHeight="1">
      <c r="R248" s="347"/>
      <c r="S248" s="347"/>
      <c r="T248" s="347"/>
      <c r="AA248" s="346"/>
      <c r="AB248" s="346"/>
      <c r="AE248" s="347"/>
      <c r="AF248" s="347"/>
      <c r="AG248" s="347"/>
      <c r="AH248" s="347"/>
      <c r="AI248" s="347"/>
      <c r="AJ248" s="347"/>
      <c r="AK248" s="347"/>
      <c r="AL248" s="347"/>
      <c r="BC248" s="350"/>
      <c r="BJ248" s="347"/>
      <c r="BK248" s="347"/>
      <c r="BL248" s="347"/>
    </row>
    <row r="249" spans="18:64" ht="69" customHeight="1">
      <c r="R249" s="347"/>
      <c r="S249" s="347"/>
      <c r="T249" s="347"/>
      <c r="AA249" s="346"/>
      <c r="AB249" s="346"/>
      <c r="AE249" s="347"/>
      <c r="AF249" s="347"/>
      <c r="AG249" s="347"/>
      <c r="AH249" s="347"/>
      <c r="AI249" s="347"/>
      <c r="AJ249" s="347"/>
      <c r="AK249" s="347"/>
      <c r="AL249" s="347"/>
      <c r="BC249" s="350"/>
      <c r="BJ249" s="347"/>
      <c r="BK249" s="347"/>
      <c r="BL249" s="347"/>
    </row>
    <row r="250" spans="18:64" ht="69" customHeight="1">
      <c r="R250" s="347"/>
      <c r="S250" s="347"/>
      <c r="T250" s="347"/>
      <c r="AA250" s="346"/>
      <c r="AB250" s="346"/>
      <c r="AE250" s="347"/>
      <c r="AF250" s="347"/>
      <c r="AG250" s="347"/>
      <c r="AH250" s="347"/>
      <c r="AI250" s="347"/>
      <c r="AJ250" s="347"/>
      <c r="AK250" s="347"/>
      <c r="AL250" s="347"/>
      <c r="BC250" s="350"/>
      <c r="BJ250" s="347"/>
      <c r="BK250" s="347"/>
      <c r="BL250" s="347"/>
    </row>
    <row r="251" spans="18:64" ht="69" customHeight="1">
      <c r="R251" s="347"/>
      <c r="S251" s="347"/>
      <c r="T251" s="347"/>
      <c r="AA251" s="346"/>
      <c r="AB251" s="346"/>
      <c r="AE251" s="347"/>
      <c r="AF251" s="347"/>
      <c r="AG251" s="347"/>
      <c r="AH251" s="347"/>
      <c r="AI251" s="347"/>
      <c r="AJ251" s="347"/>
      <c r="AK251" s="347"/>
      <c r="AL251" s="347"/>
      <c r="BC251" s="350"/>
      <c r="BJ251" s="347"/>
      <c r="BK251" s="347"/>
      <c r="BL251" s="347"/>
    </row>
    <row r="252" spans="18:64" ht="69" customHeight="1">
      <c r="R252" s="347"/>
      <c r="S252" s="347"/>
      <c r="T252" s="347"/>
      <c r="AA252" s="346"/>
      <c r="AB252" s="346"/>
      <c r="AE252" s="347"/>
      <c r="AF252" s="347"/>
      <c r="AG252" s="347"/>
      <c r="AH252" s="347"/>
      <c r="AI252" s="347"/>
      <c r="AJ252" s="347"/>
      <c r="AK252" s="347"/>
      <c r="AL252" s="347"/>
      <c r="BC252" s="350"/>
      <c r="BJ252" s="347"/>
      <c r="BK252" s="347"/>
      <c r="BL252" s="347"/>
    </row>
    <row r="253" spans="18:64" ht="69" customHeight="1">
      <c r="R253" s="347"/>
      <c r="S253" s="347"/>
      <c r="T253" s="347"/>
      <c r="AA253" s="346"/>
      <c r="AB253" s="346"/>
      <c r="AE253" s="347"/>
      <c r="AF253" s="347"/>
      <c r="AG253" s="347"/>
      <c r="AH253" s="347"/>
      <c r="AI253" s="347"/>
      <c r="AJ253" s="347"/>
      <c r="AK253" s="347"/>
      <c r="AL253" s="347"/>
      <c r="BC253" s="350"/>
      <c r="BJ253" s="347"/>
      <c r="BK253" s="347"/>
      <c r="BL253" s="347"/>
    </row>
    <row r="254" spans="18:64" ht="69" customHeight="1">
      <c r="R254" s="347"/>
      <c r="S254" s="347"/>
      <c r="T254" s="347"/>
      <c r="AA254" s="346"/>
      <c r="AB254" s="346"/>
      <c r="AE254" s="347"/>
      <c r="AF254" s="347"/>
      <c r="AG254" s="347"/>
      <c r="AH254" s="347"/>
      <c r="AI254" s="347"/>
      <c r="AJ254" s="347"/>
      <c r="AK254" s="347"/>
      <c r="AL254" s="347"/>
      <c r="BC254" s="350"/>
      <c r="BJ254" s="347"/>
      <c r="BK254" s="347"/>
      <c r="BL254" s="347"/>
    </row>
    <row r="255" spans="18:64" ht="69" customHeight="1">
      <c r="R255" s="347"/>
      <c r="S255" s="347"/>
      <c r="T255" s="347"/>
      <c r="AA255" s="346"/>
      <c r="AB255" s="346"/>
      <c r="AE255" s="347"/>
      <c r="AF255" s="347"/>
      <c r="AG255" s="347"/>
      <c r="AH255" s="347"/>
      <c r="AI255" s="347"/>
      <c r="AJ255" s="347"/>
      <c r="AK255" s="347"/>
      <c r="AL255" s="347"/>
      <c r="BC255" s="350"/>
      <c r="BJ255" s="347"/>
      <c r="BK255" s="347"/>
      <c r="BL255" s="347"/>
    </row>
    <row r="256" spans="18:64" ht="69" customHeight="1">
      <c r="R256" s="347"/>
      <c r="S256" s="347"/>
      <c r="T256" s="347"/>
      <c r="AA256" s="346"/>
      <c r="AB256" s="346"/>
      <c r="AE256" s="347"/>
      <c r="AF256" s="347"/>
      <c r="AG256" s="347"/>
      <c r="AH256" s="347"/>
      <c r="AI256" s="347"/>
      <c r="AJ256" s="347"/>
      <c r="AK256" s="347"/>
      <c r="AL256" s="347"/>
      <c r="BC256" s="350"/>
      <c r="BJ256" s="347"/>
      <c r="BK256" s="347"/>
      <c r="BL256" s="347"/>
    </row>
    <row r="257" spans="18:64" ht="69" customHeight="1">
      <c r="R257" s="347"/>
      <c r="S257" s="347"/>
      <c r="T257" s="347"/>
      <c r="AA257" s="346"/>
      <c r="AB257" s="346"/>
      <c r="AE257" s="347"/>
      <c r="AF257" s="347"/>
      <c r="AG257" s="347"/>
      <c r="AH257" s="347"/>
      <c r="AI257" s="347"/>
      <c r="AJ257" s="347"/>
      <c r="AK257" s="347"/>
      <c r="AL257" s="347"/>
      <c r="BC257" s="350"/>
      <c r="BJ257" s="347"/>
      <c r="BK257" s="347"/>
      <c r="BL257" s="347"/>
    </row>
    <row r="258" spans="18:64" ht="69" customHeight="1">
      <c r="R258" s="347"/>
      <c r="S258" s="347"/>
      <c r="T258" s="347"/>
      <c r="AA258" s="346"/>
      <c r="AB258" s="346"/>
      <c r="AE258" s="347"/>
      <c r="AF258" s="347"/>
      <c r="AG258" s="347"/>
      <c r="AH258" s="347"/>
      <c r="AI258" s="347"/>
      <c r="AJ258" s="347"/>
      <c r="AK258" s="347"/>
      <c r="AL258" s="347"/>
      <c r="BC258" s="350"/>
      <c r="BJ258" s="347"/>
      <c r="BK258" s="347"/>
      <c r="BL258" s="347"/>
    </row>
    <row r="259" spans="18:64" ht="69" customHeight="1">
      <c r="R259" s="347"/>
      <c r="S259" s="347"/>
      <c r="T259" s="347"/>
      <c r="AA259" s="346"/>
      <c r="AB259" s="346"/>
      <c r="AE259" s="347"/>
      <c r="AF259" s="347"/>
      <c r="AG259" s="347"/>
      <c r="AH259" s="347"/>
      <c r="AI259" s="347"/>
      <c r="AJ259" s="347"/>
      <c r="AK259" s="347"/>
      <c r="AL259" s="347"/>
      <c r="BC259" s="350"/>
      <c r="BJ259" s="347"/>
      <c r="BK259" s="347"/>
      <c r="BL259" s="347"/>
    </row>
    <row r="260" spans="18:64" ht="69" customHeight="1">
      <c r="R260" s="347"/>
      <c r="S260" s="347"/>
      <c r="T260" s="347"/>
      <c r="AA260" s="346"/>
      <c r="AB260" s="346"/>
      <c r="AE260" s="347"/>
      <c r="AF260" s="347"/>
      <c r="AG260" s="347"/>
      <c r="AH260" s="347"/>
      <c r="AI260" s="347"/>
      <c r="AJ260" s="347"/>
      <c r="AK260" s="347"/>
      <c r="AL260" s="347"/>
      <c r="BC260" s="350"/>
      <c r="BJ260" s="347"/>
      <c r="BK260" s="347"/>
      <c r="BL260" s="347"/>
    </row>
    <row r="261" spans="18:64" ht="69" customHeight="1">
      <c r="R261" s="347"/>
      <c r="S261" s="347"/>
      <c r="T261" s="347"/>
      <c r="AA261" s="346"/>
      <c r="AB261" s="346"/>
      <c r="AE261" s="347"/>
      <c r="AF261" s="347"/>
      <c r="AG261" s="347"/>
      <c r="AH261" s="347"/>
      <c r="AI261" s="347"/>
      <c r="AJ261" s="347"/>
      <c r="AK261" s="347"/>
      <c r="AL261" s="347"/>
      <c r="BC261" s="350"/>
      <c r="BJ261" s="347"/>
      <c r="BK261" s="347"/>
      <c r="BL261" s="347"/>
    </row>
    <row r="262" spans="18:64" ht="69" customHeight="1">
      <c r="R262" s="347"/>
      <c r="S262" s="347"/>
      <c r="T262" s="347"/>
      <c r="AA262" s="346"/>
      <c r="AB262" s="346"/>
      <c r="AE262" s="347"/>
      <c r="AF262" s="347"/>
      <c r="AG262" s="347"/>
      <c r="AH262" s="347"/>
      <c r="AI262" s="347"/>
      <c r="AJ262" s="347"/>
      <c r="AK262" s="347"/>
      <c r="AL262" s="347"/>
      <c r="BC262" s="350"/>
      <c r="BJ262" s="347"/>
      <c r="BK262" s="347"/>
      <c r="BL262" s="347"/>
    </row>
    <row r="263" spans="18:64" ht="69" customHeight="1">
      <c r="R263" s="347"/>
      <c r="S263" s="347"/>
      <c r="T263" s="347"/>
      <c r="AA263" s="346"/>
      <c r="AB263" s="346"/>
      <c r="AE263" s="347"/>
      <c r="AF263" s="347"/>
      <c r="AG263" s="347"/>
      <c r="AH263" s="347"/>
      <c r="AI263" s="347"/>
      <c r="AJ263" s="347"/>
      <c r="AK263" s="347"/>
      <c r="AL263" s="347"/>
      <c r="BC263" s="350"/>
      <c r="BJ263" s="347"/>
      <c r="BK263" s="347"/>
      <c r="BL263" s="347"/>
    </row>
    <row r="264" spans="18:64" ht="69" customHeight="1">
      <c r="R264" s="347"/>
      <c r="S264" s="347"/>
      <c r="T264" s="347"/>
      <c r="AA264" s="346"/>
      <c r="AB264" s="346"/>
      <c r="AE264" s="347"/>
      <c r="AF264" s="347"/>
      <c r="AG264" s="347"/>
      <c r="AH264" s="347"/>
      <c r="AI264" s="347"/>
      <c r="AJ264" s="347"/>
      <c r="AK264" s="347"/>
      <c r="AL264" s="347"/>
      <c r="BC264" s="350"/>
      <c r="BJ264" s="347"/>
      <c r="BK264" s="347"/>
      <c r="BL264" s="347"/>
    </row>
    <row r="265" spans="18:64" ht="69" customHeight="1">
      <c r="R265" s="347"/>
      <c r="S265" s="347"/>
      <c r="T265" s="347"/>
      <c r="AA265" s="346"/>
      <c r="AB265" s="346"/>
      <c r="AE265" s="347"/>
      <c r="AF265" s="347"/>
      <c r="AG265" s="347"/>
      <c r="AH265" s="347"/>
      <c r="AI265" s="347"/>
      <c r="AJ265" s="347"/>
      <c r="AK265" s="347"/>
      <c r="AL265" s="347"/>
      <c r="BC265" s="350"/>
      <c r="BJ265" s="347"/>
      <c r="BK265" s="347"/>
      <c r="BL265" s="347"/>
    </row>
    <row r="266" spans="18:64" ht="69" customHeight="1">
      <c r="R266" s="347"/>
      <c r="S266" s="347"/>
      <c r="T266" s="347"/>
      <c r="AA266" s="346"/>
      <c r="AB266" s="346"/>
      <c r="AE266" s="347"/>
      <c r="AF266" s="347"/>
      <c r="AG266" s="347"/>
      <c r="AH266" s="347"/>
      <c r="AI266" s="347"/>
      <c r="AJ266" s="347"/>
      <c r="AK266" s="347"/>
      <c r="AL266" s="347"/>
      <c r="BC266" s="350"/>
      <c r="BJ266" s="347"/>
      <c r="BK266" s="347"/>
      <c r="BL266" s="347"/>
    </row>
    <row r="267" spans="18:64" ht="69" customHeight="1">
      <c r="R267" s="347"/>
      <c r="S267" s="347"/>
      <c r="T267" s="347"/>
      <c r="AA267" s="346"/>
      <c r="AB267" s="346"/>
      <c r="AE267" s="347"/>
      <c r="AF267" s="347"/>
      <c r="AG267" s="347"/>
      <c r="AH267" s="347"/>
      <c r="AI267" s="347"/>
      <c r="AJ267" s="347"/>
      <c r="AK267" s="347"/>
      <c r="AL267" s="347"/>
      <c r="BC267" s="350"/>
      <c r="BJ267" s="347"/>
      <c r="BK267" s="347"/>
      <c r="BL267" s="347"/>
    </row>
    <row r="268" spans="18:64" ht="69" customHeight="1">
      <c r="R268" s="347"/>
      <c r="S268" s="347"/>
      <c r="T268" s="347"/>
      <c r="AA268" s="346"/>
      <c r="AB268" s="346"/>
      <c r="AE268" s="347"/>
      <c r="AF268" s="347"/>
      <c r="AG268" s="347"/>
      <c r="AH268" s="347"/>
      <c r="AI268" s="347"/>
      <c r="AJ268" s="347"/>
      <c r="AK268" s="347"/>
      <c r="AL268" s="347"/>
      <c r="BC268" s="350"/>
      <c r="BJ268" s="347"/>
      <c r="BK268" s="347"/>
      <c r="BL268" s="347"/>
    </row>
    <row r="269" spans="18:64" ht="69" customHeight="1">
      <c r="R269" s="347"/>
      <c r="S269" s="347"/>
      <c r="T269" s="347"/>
      <c r="AA269" s="346"/>
      <c r="AB269" s="346"/>
      <c r="AE269" s="347"/>
      <c r="AF269" s="347"/>
      <c r="AG269" s="347"/>
      <c r="AH269" s="347"/>
      <c r="AI269" s="347"/>
      <c r="AJ269" s="347"/>
      <c r="AK269" s="347"/>
      <c r="AL269" s="347"/>
      <c r="BC269" s="350"/>
      <c r="BJ269" s="347"/>
      <c r="BK269" s="347"/>
      <c r="BL269" s="347"/>
    </row>
    <row r="270" spans="18:64" ht="69" customHeight="1">
      <c r="R270" s="347"/>
      <c r="S270" s="347"/>
      <c r="T270" s="347"/>
      <c r="AA270" s="346"/>
      <c r="AB270" s="346"/>
      <c r="AE270" s="347"/>
      <c r="AF270" s="347"/>
      <c r="AG270" s="347"/>
      <c r="AH270" s="347"/>
      <c r="AI270" s="347"/>
      <c r="AJ270" s="347"/>
      <c r="AK270" s="347"/>
      <c r="AL270" s="347"/>
      <c r="BC270" s="350"/>
      <c r="BJ270" s="347"/>
      <c r="BK270" s="347"/>
      <c r="BL270" s="347"/>
    </row>
    <row r="271" spans="18:64" ht="69" customHeight="1">
      <c r="R271" s="347"/>
      <c r="S271" s="347"/>
      <c r="T271" s="347"/>
      <c r="AA271" s="346"/>
      <c r="AB271" s="346"/>
      <c r="AE271" s="347"/>
      <c r="AF271" s="347"/>
      <c r="AG271" s="347"/>
      <c r="AH271" s="347"/>
      <c r="AI271" s="347"/>
      <c r="AJ271" s="347"/>
      <c r="AK271" s="347"/>
      <c r="AL271" s="347"/>
      <c r="BC271" s="350"/>
      <c r="BJ271" s="347"/>
      <c r="BK271" s="347"/>
      <c r="BL271" s="347"/>
    </row>
    <row r="272" spans="18:64" ht="69" customHeight="1">
      <c r="R272" s="347"/>
      <c r="S272" s="347"/>
      <c r="T272" s="347"/>
      <c r="AA272" s="346"/>
      <c r="AB272" s="346"/>
      <c r="AE272" s="347"/>
      <c r="AF272" s="347"/>
      <c r="AG272" s="347"/>
      <c r="AH272" s="347"/>
      <c r="AI272" s="347"/>
      <c r="AJ272" s="347"/>
      <c r="AK272" s="347"/>
      <c r="AL272" s="347"/>
      <c r="BC272" s="350"/>
      <c r="BJ272" s="347"/>
      <c r="BK272" s="347"/>
      <c r="BL272" s="347"/>
    </row>
    <row r="273" spans="18:64" ht="69" customHeight="1">
      <c r="R273" s="347"/>
      <c r="S273" s="347"/>
      <c r="T273" s="347"/>
      <c r="AA273" s="346"/>
      <c r="AB273" s="346"/>
      <c r="AE273" s="347"/>
      <c r="AF273" s="347"/>
      <c r="AG273" s="347"/>
      <c r="AH273" s="347"/>
      <c r="AI273" s="347"/>
      <c r="AJ273" s="347"/>
      <c r="AK273" s="347"/>
      <c r="AL273" s="347"/>
      <c r="BC273" s="350"/>
      <c r="BJ273" s="347"/>
      <c r="BK273" s="347"/>
      <c r="BL273" s="347"/>
    </row>
    <row r="274" spans="18:64" ht="69" customHeight="1">
      <c r="R274" s="347"/>
      <c r="S274" s="347"/>
      <c r="T274" s="347"/>
      <c r="AA274" s="346"/>
      <c r="AB274" s="346"/>
      <c r="AE274" s="347"/>
      <c r="AF274" s="347"/>
      <c r="AG274" s="347"/>
      <c r="AH274" s="347"/>
      <c r="AI274" s="347"/>
      <c r="AJ274" s="347"/>
      <c r="AK274" s="347"/>
      <c r="AL274" s="347"/>
      <c r="BC274" s="350"/>
      <c r="BJ274" s="347"/>
      <c r="BK274" s="347"/>
      <c r="BL274" s="347"/>
    </row>
    <row r="275" spans="18:64" ht="69" customHeight="1">
      <c r="R275" s="347"/>
      <c r="S275" s="347"/>
      <c r="T275" s="347"/>
      <c r="AA275" s="346"/>
      <c r="AB275" s="346"/>
      <c r="AE275" s="347"/>
      <c r="AF275" s="347"/>
      <c r="AG275" s="347"/>
      <c r="AH275" s="347"/>
      <c r="AI275" s="347"/>
      <c r="AJ275" s="347"/>
      <c r="AK275" s="347"/>
      <c r="AL275" s="347"/>
      <c r="BC275" s="350"/>
      <c r="BJ275" s="347"/>
      <c r="BK275" s="347"/>
      <c r="BL275" s="347"/>
    </row>
    <row r="276" spans="18:64" ht="69" customHeight="1">
      <c r="R276" s="347"/>
      <c r="S276" s="347"/>
      <c r="T276" s="347"/>
      <c r="AA276" s="346"/>
      <c r="AB276" s="346"/>
      <c r="AE276" s="347"/>
      <c r="AF276" s="347"/>
      <c r="AG276" s="347"/>
      <c r="AH276" s="347"/>
      <c r="AI276" s="347"/>
      <c r="AJ276" s="347"/>
      <c r="AK276" s="347"/>
      <c r="AL276" s="347"/>
      <c r="BC276" s="350"/>
      <c r="BJ276" s="347"/>
      <c r="BK276" s="347"/>
      <c r="BL276" s="347"/>
    </row>
    <row r="277" spans="18:64" ht="69" customHeight="1">
      <c r="R277" s="347"/>
      <c r="S277" s="347"/>
      <c r="T277" s="347"/>
      <c r="AA277" s="346"/>
      <c r="AB277" s="346"/>
      <c r="AE277" s="347"/>
      <c r="AF277" s="347"/>
      <c r="AG277" s="347"/>
      <c r="AH277" s="347"/>
      <c r="AI277" s="347"/>
      <c r="AJ277" s="347"/>
      <c r="AK277" s="347"/>
      <c r="AL277" s="347"/>
      <c r="BC277" s="350"/>
      <c r="BJ277" s="347"/>
      <c r="BK277" s="347"/>
      <c r="BL277" s="347"/>
    </row>
    <row r="278" spans="18:64" ht="69" customHeight="1">
      <c r="R278" s="347"/>
      <c r="S278" s="347"/>
      <c r="T278" s="347"/>
      <c r="AA278" s="346"/>
      <c r="AB278" s="346"/>
      <c r="AE278" s="347"/>
      <c r="AF278" s="347"/>
      <c r="AG278" s="347"/>
      <c r="AH278" s="347"/>
      <c r="AI278" s="347"/>
      <c r="AJ278" s="347"/>
      <c r="AK278" s="347"/>
      <c r="AL278" s="347"/>
      <c r="BC278" s="350"/>
      <c r="BJ278" s="347"/>
      <c r="BK278" s="347"/>
      <c r="BL278" s="347"/>
    </row>
    <row r="279" spans="18:64" ht="69" customHeight="1">
      <c r="R279" s="347"/>
      <c r="S279" s="347"/>
      <c r="T279" s="347"/>
      <c r="AA279" s="346"/>
      <c r="AB279" s="346"/>
      <c r="AE279" s="347"/>
      <c r="AF279" s="347"/>
      <c r="AG279" s="347"/>
      <c r="AH279" s="347"/>
      <c r="AI279" s="347"/>
      <c r="AJ279" s="347"/>
      <c r="AK279" s="347"/>
      <c r="AL279" s="347"/>
      <c r="BC279" s="350"/>
      <c r="BJ279" s="347"/>
      <c r="BK279" s="347"/>
      <c r="BL279" s="347"/>
    </row>
    <row r="280" spans="18:64" ht="69" customHeight="1">
      <c r="R280" s="347"/>
      <c r="S280" s="347"/>
      <c r="T280" s="347"/>
      <c r="AA280" s="346"/>
      <c r="AB280" s="346"/>
      <c r="AE280" s="347"/>
      <c r="AF280" s="347"/>
      <c r="AG280" s="347"/>
      <c r="AH280" s="347"/>
      <c r="AI280" s="347"/>
      <c r="AJ280" s="347"/>
      <c r="AK280" s="347"/>
      <c r="AL280" s="347"/>
      <c r="BC280" s="350"/>
      <c r="BJ280" s="347"/>
      <c r="BK280" s="347"/>
      <c r="BL280" s="347"/>
    </row>
    <row r="281" spans="18:64" ht="69" customHeight="1">
      <c r="R281" s="347"/>
      <c r="S281" s="347"/>
      <c r="T281" s="347"/>
      <c r="AA281" s="346"/>
      <c r="AB281" s="346"/>
      <c r="AE281" s="347"/>
      <c r="AF281" s="347"/>
      <c r="AG281" s="347"/>
      <c r="AH281" s="347"/>
      <c r="AI281" s="347"/>
      <c r="AJ281" s="347"/>
      <c r="AK281" s="347"/>
      <c r="AL281" s="347"/>
      <c r="BC281" s="350"/>
      <c r="BJ281" s="347"/>
      <c r="BK281" s="347"/>
      <c r="BL281" s="347"/>
    </row>
    <row r="282" spans="18:64" ht="69" customHeight="1">
      <c r="R282" s="347"/>
      <c r="S282" s="347"/>
      <c r="T282" s="347"/>
      <c r="AA282" s="346"/>
      <c r="AB282" s="346"/>
      <c r="AE282" s="347"/>
      <c r="AF282" s="347"/>
      <c r="AG282" s="347"/>
      <c r="AH282" s="347"/>
      <c r="AI282" s="347"/>
      <c r="AJ282" s="347"/>
      <c r="AK282" s="347"/>
      <c r="AL282" s="347"/>
      <c r="BC282" s="350"/>
      <c r="BJ282" s="347"/>
      <c r="BK282" s="347"/>
      <c r="BL282" s="347"/>
    </row>
    <row r="283" spans="18:64" ht="69" customHeight="1">
      <c r="R283" s="347"/>
      <c r="S283" s="347"/>
      <c r="T283" s="347"/>
      <c r="AA283" s="346"/>
      <c r="AB283" s="346"/>
      <c r="AE283" s="347"/>
      <c r="AF283" s="347"/>
      <c r="AG283" s="347"/>
      <c r="AH283" s="347"/>
      <c r="AI283" s="347"/>
      <c r="AJ283" s="347"/>
      <c r="AK283" s="347"/>
      <c r="AL283" s="347"/>
      <c r="BC283" s="350"/>
      <c r="BJ283" s="347"/>
      <c r="BK283" s="347"/>
      <c r="BL283" s="347"/>
    </row>
    <row r="284" spans="18:64" ht="69" customHeight="1">
      <c r="R284" s="347"/>
      <c r="S284" s="347"/>
      <c r="T284" s="347"/>
      <c r="AA284" s="346"/>
      <c r="AB284" s="346"/>
      <c r="AE284" s="347"/>
      <c r="AF284" s="347"/>
      <c r="AG284" s="347"/>
      <c r="AH284" s="347"/>
      <c r="AI284" s="347"/>
      <c r="AJ284" s="347"/>
      <c r="AK284" s="347"/>
      <c r="AL284" s="347"/>
      <c r="BC284" s="350"/>
      <c r="BJ284" s="347"/>
      <c r="BK284" s="347"/>
      <c r="BL284" s="347"/>
    </row>
    <row r="285" spans="18:64" ht="69" customHeight="1">
      <c r="R285" s="347"/>
      <c r="S285" s="347"/>
      <c r="T285" s="347"/>
      <c r="AA285" s="346"/>
      <c r="AB285" s="346"/>
      <c r="AE285" s="347"/>
      <c r="AF285" s="347"/>
      <c r="AG285" s="347"/>
      <c r="AH285" s="347"/>
      <c r="AI285" s="347"/>
      <c r="AJ285" s="347"/>
      <c r="AK285" s="347"/>
      <c r="AL285" s="347"/>
      <c r="BC285" s="350"/>
      <c r="BJ285" s="347"/>
      <c r="BK285" s="347"/>
      <c r="BL285" s="347"/>
    </row>
    <row r="286" spans="18:64" ht="69" customHeight="1">
      <c r="R286" s="347"/>
      <c r="S286" s="347"/>
      <c r="T286" s="347"/>
      <c r="AA286" s="346"/>
      <c r="AB286" s="346"/>
      <c r="AE286" s="347"/>
      <c r="AF286" s="347"/>
      <c r="AG286" s="347"/>
      <c r="AH286" s="347"/>
      <c r="AI286" s="347"/>
      <c r="AJ286" s="347"/>
      <c r="AK286" s="347"/>
      <c r="AL286" s="347"/>
      <c r="BC286" s="350"/>
      <c r="BJ286" s="347"/>
      <c r="BK286" s="347"/>
      <c r="BL286" s="347"/>
    </row>
    <row r="287" spans="18:64" ht="69" customHeight="1">
      <c r="R287" s="347"/>
      <c r="S287" s="347"/>
      <c r="T287" s="347"/>
      <c r="AA287" s="346"/>
      <c r="AB287" s="346"/>
      <c r="AE287" s="347"/>
      <c r="AF287" s="347"/>
      <c r="AG287" s="347"/>
      <c r="AH287" s="347"/>
      <c r="AI287" s="347"/>
      <c r="AJ287" s="347"/>
      <c r="AK287" s="347"/>
      <c r="AL287" s="347"/>
      <c r="BC287" s="350"/>
      <c r="BJ287" s="347"/>
      <c r="BK287" s="347"/>
      <c r="BL287" s="347"/>
    </row>
    <row r="288" spans="18:64" ht="69" customHeight="1">
      <c r="R288" s="347"/>
      <c r="S288" s="347"/>
      <c r="T288" s="347"/>
      <c r="AA288" s="346"/>
      <c r="AB288" s="346"/>
      <c r="AE288" s="347"/>
      <c r="AF288" s="347"/>
      <c r="AG288" s="347"/>
      <c r="AH288" s="347"/>
      <c r="AI288" s="347"/>
      <c r="AJ288" s="347"/>
      <c r="AK288" s="347"/>
      <c r="AL288" s="347"/>
      <c r="BC288" s="350"/>
      <c r="BJ288" s="347"/>
      <c r="BK288" s="347"/>
      <c r="BL288" s="347"/>
    </row>
    <row r="289" spans="18:64" ht="69" customHeight="1">
      <c r="R289" s="347"/>
      <c r="S289" s="347"/>
      <c r="T289" s="347"/>
      <c r="AA289" s="346"/>
      <c r="AB289" s="346"/>
      <c r="AE289" s="347"/>
      <c r="AF289" s="347"/>
      <c r="AG289" s="347"/>
      <c r="AH289" s="347"/>
      <c r="AI289" s="347"/>
      <c r="AJ289" s="347"/>
      <c r="AK289" s="347"/>
      <c r="AL289" s="347"/>
      <c r="BC289" s="350"/>
      <c r="BJ289" s="347"/>
      <c r="BK289" s="347"/>
      <c r="BL289" s="347"/>
    </row>
    <row r="290" spans="18:64" ht="69" customHeight="1">
      <c r="R290" s="347"/>
      <c r="S290" s="347"/>
      <c r="T290" s="347"/>
      <c r="AA290" s="346"/>
      <c r="AB290" s="346"/>
      <c r="AE290" s="347"/>
      <c r="AF290" s="347"/>
      <c r="AG290" s="347"/>
      <c r="AH290" s="347"/>
      <c r="AI290" s="347"/>
      <c r="AJ290" s="347"/>
      <c r="AK290" s="347"/>
      <c r="AL290" s="347"/>
      <c r="BC290" s="350"/>
      <c r="BJ290" s="347"/>
      <c r="BK290" s="347"/>
      <c r="BL290" s="347"/>
    </row>
    <row r="291" spans="18:64" ht="69" customHeight="1">
      <c r="R291" s="347"/>
      <c r="S291" s="347"/>
      <c r="T291" s="347"/>
      <c r="AA291" s="346"/>
      <c r="AB291" s="346"/>
      <c r="AE291" s="347"/>
      <c r="AF291" s="347"/>
      <c r="AG291" s="347"/>
      <c r="AH291" s="347"/>
      <c r="AI291" s="347"/>
      <c r="AJ291" s="347"/>
      <c r="AK291" s="347"/>
      <c r="AL291" s="347"/>
      <c r="BC291" s="350"/>
      <c r="BJ291" s="347"/>
      <c r="BK291" s="347"/>
      <c r="BL291" s="347"/>
    </row>
    <row r="292" spans="18:64" ht="69" customHeight="1">
      <c r="R292" s="347"/>
      <c r="S292" s="347"/>
      <c r="T292" s="347"/>
      <c r="AA292" s="346"/>
      <c r="AB292" s="346"/>
      <c r="AE292" s="347"/>
      <c r="AF292" s="347"/>
      <c r="AG292" s="347"/>
      <c r="AH292" s="347"/>
      <c r="AI292" s="347"/>
      <c r="AJ292" s="347"/>
      <c r="AK292" s="347"/>
      <c r="AL292" s="347"/>
      <c r="BC292" s="350"/>
      <c r="BJ292" s="347"/>
      <c r="BK292" s="347"/>
      <c r="BL292" s="347"/>
    </row>
    <row r="293" spans="18:64" ht="69" customHeight="1">
      <c r="R293" s="347"/>
      <c r="S293" s="347"/>
      <c r="T293" s="347"/>
      <c r="AA293" s="346"/>
      <c r="AB293" s="346"/>
      <c r="AE293" s="347"/>
      <c r="AF293" s="347"/>
      <c r="AG293" s="347"/>
      <c r="AH293" s="347"/>
      <c r="AI293" s="347"/>
      <c r="AJ293" s="347"/>
      <c r="AK293" s="347"/>
      <c r="AL293" s="347"/>
      <c r="BC293" s="350"/>
      <c r="BJ293" s="347"/>
      <c r="BK293" s="347"/>
      <c r="BL293" s="347"/>
    </row>
    <row r="294" spans="18:64" ht="69" customHeight="1">
      <c r="R294" s="347"/>
      <c r="S294" s="347"/>
      <c r="T294" s="347"/>
      <c r="AA294" s="346"/>
      <c r="AB294" s="346"/>
      <c r="AE294" s="347"/>
      <c r="AF294" s="347"/>
      <c r="AG294" s="347"/>
      <c r="AH294" s="347"/>
      <c r="AI294" s="347"/>
      <c r="AJ294" s="347"/>
      <c r="AK294" s="347"/>
      <c r="AL294" s="347"/>
      <c r="BC294" s="350"/>
      <c r="BJ294" s="347"/>
      <c r="BK294" s="347"/>
      <c r="BL294" s="347"/>
    </row>
    <row r="295" spans="18:64" ht="69" customHeight="1">
      <c r="R295" s="347"/>
      <c r="S295" s="347"/>
      <c r="T295" s="347"/>
      <c r="AA295" s="346"/>
      <c r="AB295" s="346"/>
      <c r="AE295" s="347"/>
      <c r="AF295" s="347"/>
      <c r="AG295" s="347"/>
      <c r="AH295" s="347"/>
      <c r="AI295" s="347"/>
      <c r="AJ295" s="347"/>
      <c r="AK295" s="347"/>
      <c r="AL295" s="347"/>
      <c r="BC295" s="350"/>
      <c r="BJ295" s="347"/>
      <c r="BK295" s="347"/>
      <c r="BL295" s="347"/>
    </row>
    <row r="296" spans="18:64" ht="69" customHeight="1">
      <c r="R296" s="347"/>
      <c r="S296" s="347"/>
      <c r="T296" s="347"/>
      <c r="AA296" s="346"/>
      <c r="AB296" s="346"/>
      <c r="AE296" s="347"/>
      <c r="AF296" s="347"/>
      <c r="AG296" s="347"/>
      <c r="AH296" s="347"/>
      <c r="AI296" s="347"/>
      <c r="AJ296" s="347"/>
      <c r="AK296" s="347"/>
      <c r="AL296" s="347"/>
      <c r="BC296" s="350"/>
      <c r="BJ296" s="347"/>
      <c r="BK296" s="347"/>
      <c r="BL296" s="347"/>
    </row>
    <row r="297" spans="18:64" ht="69" customHeight="1">
      <c r="R297" s="347"/>
      <c r="S297" s="347"/>
      <c r="T297" s="347"/>
      <c r="AA297" s="346"/>
      <c r="AB297" s="346"/>
      <c r="AE297" s="347"/>
      <c r="AF297" s="347"/>
      <c r="AG297" s="347"/>
      <c r="AH297" s="347"/>
      <c r="AI297" s="347"/>
      <c r="AJ297" s="347"/>
      <c r="AK297" s="347"/>
      <c r="AL297" s="347"/>
      <c r="BC297" s="350"/>
      <c r="BJ297" s="347"/>
      <c r="BK297" s="347"/>
      <c r="BL297" s="347"/>
    </row>
    <row r="298" spans="18:64" ht="69" customHeight="1">
      <c r="R298" s="347"/>
      <c r="S298" s="347"/>
      <c r="T298" s="347"/>
      <c r="AA298" s="346"/>
      <c r="AB298" s="346"/>
      <c r="AE298" s="347"/>
      <c r="AF298" s="347"/>
      <c r="AG298" s="347"/>
      <c r="AH298" s="347"/>
      <c r="AI298" s="347"/>
      <c r="AJ298" s="347"/>
      <c r="AK298" s="347"/>
      <c r="AL298" s="347"/>
      <c r="BC298" s="350"/>
      <c r="BJ298" s="347"/>
      <c r="BK298" s="347"/>
      <c r="BL298" s="347"/>
    </row>
    <row r="299" spans="18:64" ht="69" customHeight="1">
      <c r="R299" s="347"/>
      <c r="S299" s="347"/>
      <c r="T299" s="347"/>
      <c r="AA299" s="346"/>
      <c r="AB299" s="346"/>
      <c r="AE299" s="347"/>
      <c r="AF299" s="347"/>
      <c r="AG299" s="347"/>
      <c r="AH299" s="347"/>
      <c r="AI299" s="347"/>
      <c r="AJ299" s="347"/>
      <c r="AK299" s="347"/>
      <c r="AL299" s="347"/>
      <c r="BC299" s="350"/>
      <c r="BJ299" s="347"/>
      <c r="BK299" s="347"/>
      <c r="BL299" s="347"/>
    </row>
    <row r="300" spans="18:64" ht="69" customHeight="1">
      <c r="R300" s="347"/>
      <c r="S300" s="347"/>
      <c r="T300" s="347"/>
      <c r="AA300" s="346"/>
      <c r="AB300" s="346"/>
      <c r="AE300" s="347"/>
      <c r="AF300" s="347"/>
      <c r="AG300" s="347"/>
      <c r="AH300" s="347"/>
      <c r="AI300" s="347"/>
      <c r="AJ300" s="347"/>
      <c r="AK300" s="347"/>
      <c r="AL300" s="347"/>
      <c r="BC300" s="350"/>
      <c r="BJ300" s="347"/>
      <c r="BK300" s="347"/>
      <c r="BL300" s="347"/>
    </row>
    <row r="301" spans="18:64" ht="69" customHeight="1">
      <c r="R301" s="347"/>
      <c r="S301" s="347"/>
      <c r="T301" s="347"/>
      <c r="AA301" s="346"/>
      <c r="AB301" s="346"/>
      <c r="AE301" s="347"/>
      <c r="AF301" s="347"/>
      <c r="AG301" s="347"/>
      <c r="AH301" s="347"/>
      <c r="AI301" s="347"/>
      <c r="AJ301" s="347"/>
      <c r="AK301" s="347"/>
      <c r="AL301" s="347"/>
      <c r="BC301" s="350"/>
      <c r="BJ301" s="347"/>
      <c r="BK301" s="347"/>
      <c r="BL301" s="347"/>
    </row>
    <row r="302" spans="18:64" ht="69" customHeight="1">
      <c r="R302" s="347"/>
      <c r="S302" s="347"/>
      <c r="T302" s="347"/>
      <c r="AA302" s="346"/>
      <c r="AB302" s="346"/>
      <c r="AE302" s="347"/>
      <c r="AF302" s="347"/>
      <c r="AG302" s="347"/>
      <c r="AH302" s="347"/>
      <c r="AI302" s="347"/>
      <c r="AJ302" s="347"/>
      <c r="AK302" s="347"/>
      <c r="AL302" s="347"/>
      <c r="BC302" s="350"/>
      <c r="BJ302" s="347"/>
      <c r="BK302" s="347"/>
      <c r="BL302" s="347"/>
    </row>
    <row r="303" spans="18:64" ht="69" customHeight="1">
      <c r="R303" s="347"/>
      <c r="S303" s="347"/>
      <c r="T303" s="347"/>
      <c r="AA303" s="346"/>
      <c r="AB303" s="346"/>
      <c r="AE303" s="347"/>
      <c r="AF303" s="347"/>
      <c r="AG303" s="347"/>
      <c r="AH303" s="347"/>
      <c r="AI303" s="347"/>
      <c r="AJ303" s="347"/>
      <c r="AK303" s="347"/>
      <c r="AL303" s="347"/>
      <c r="BC303" s="350"/>
      <c r="BJ303" s="347"/>
      <c r="BK303" s="347"/>
      <c r="BL303" s="347"/>
    </row>
    <row r="304" spans="18:64" ht="69" customHeight="1">
      <c r="R304" s="347"/>
      <c r="S304" s="347"/>
      <c r="T304" s="347"/>
      <c r="AA304" s="346"/>
      <c r="AB304" s="346"/>
      <c r="AE304" s="347"/>
      <c r="AF304" s="347"/>
      <c r="AG304" s="347"/>
      <c r="AH304" s="347"/>
      <c r="AI304" s="347"/>
      <c r="AJ304" s="347"/>
      <c r="AK304" s="347"/>
      <c r="AL304" s="347"/>
      <c r="BC304" s="350"/>
      <c r="BJ304" s="347"/>
      <c r="BK304" s="347"/>
      <c r="BL304" s="347"/>
    </row>
    <row r="305" spans="18:64" ht="69" customHeight="1">
      <c r="R305" s="347"/>
      <c r="S305" s="347"/>
      <c r="T305" s="347"/>
      <c r="AA305" s="346"/>
      <c r="AB305" s="346"/>
      <c r="AE305" s="347"/>
      <c r="AF305" s="347"/>
      <c r="AG305" s="347"/>
      <c r="AH305" s="347"/>
      <c r="AI305" s="347"/>
      <c r="AJ305" s="347"/>
      <c r="AK305" s="347"/>
      <c r="AL305" s="347"/>
      <c r="BC305" s="350"/>
      <c r="BJ305" s="347"/>
      <c r="BK305" s="347"/>
      <c r="BL305" s="347"/>
    </row>
    <row r="306" spans="18:64" ht="69" customHeight="1">
      <c r="R306" s="347"/>
      <c r="S306" s="347"/>
      <c r="T306" s="347"/>
      <c r="AA306" s="346"/>
      <c r="AB306" s="346"/>
      <c r="AE306" s="347"/>
      <c r="AF306" s="347"/>
      <c r="AG306" s="347"/>
      <c r="AH306" s="347"/>
      <c r="AI306" s="347"/>
      <c r="AJ306" s="347"/>
      <c r="AK306" s="347"/>
      <c r="AL306" s="347"/>
      <c r="BC306" s="350"/>
      <c r="BJ306" s="347"/>
      <c r="BK306" s="347"/>
      <c r="BL306" s="347"/>
    </row>
    <row r="307" spans="18:64" ht="69" customHeight="1">
      <c r="R307" s="347"/>
      <c r="S307" s="347"/>
      <c r="T307" s="347"/>
      <c r="AA307" s="346"/>
      <c r="AB307" s="346"/>
      <c r="AE307" s="347"/>
      <c r="AF307" s="347"/>
      <c r="AG307" s="347"/>
      <c r="AH307" s="347"/>
      <c r="AI307" s="347"/>
      <c r="AJ307" s="347"/>
      <c r="AK307" s="347"/>
      <c r="AL307" s="347"/>
      <c r="BC307" s="350"/>
      <c r="BJ307" s="347"/>
      <c r="BK307" s="347"/>
      <c r="BL307" s="347"/>
    </row>
    <row r="308" spans="18:64" ht="69" customHeight="1">
      <c r="R308" s="347"/>
      <c r="S308" s="347"/>
      <c r="T308" s="347"/>
      <c r="AA308" s="346"/>
      <c r="AB308" s="346"/>
      <c r="AE308" s="347"/>
      <c r="AF308" s="347"/>
      <c r="AG308" s="347"/>
      <c r="AH308" s="347"/>
      <c r="AI308" s="347"/>
      <c r="AJ308" s="347"/>
      <c r="AK308" s="347"/>
      <c r="AL308" s="347"/>
      <c r="BC308" s="350"/>
      <c r="BJ308" s="347"/>
      <c r="BK308" s="347"/>
      <c r="BL308" s="347"/>
    </row>
  </sheetData>
  <sheetProtection password="8EB8" sheet="1" objects="1" scenarios="1" formatColumns="0" formatRows="0"/>
  <mergeCells count="57">
    <mergeCell ref="B10:C10"/>
    <mergeCell ref="F10:F11"/>
    <mergeCell ref="P10:P11"/>
    <mergeCell ref="W10:AA10"/>
    <mergeCell ref="L10:L11"/>
    <mergeCell ref="G10:I11"/>
    <mergeCell ref="K10:K11"/>
    <mergeCell ref="Q10:V10"/>
    <mergeCell ref="N10:N11"/>
    <mergeCell ref="O10:O11"/>
    <mergeCell ref="M10:M11"/>
    <mergeCell ref="AY11:AZ11"/>
    <mergeCell ref="AB10:AZ10"/>
    <mergeCell ref="AJ11:AK11"/>
    <mergeCell ref="AH11:AI11"/>
    <mergeCell ref="AQ11:AR11"/>
    <mergeCell ref="AD11:AE11"/>
    <mergeCell ref="AB11:AC11"/>
    <mergeCell ref="AW11:AX11"/>
    <mergeCell ref="AO11:AP11"/>
    <mergeCell ref="AF11:AG11"/>
    <mergeCell ref="BL10:BU10"/>
    <mergeCell ref="AM11:AN11"/>
    <mergeCell ref="BA10:BK10"/>
    <mergeCell ref="AT11:AU11"/>
    <mergeCell ref="CI6:CJ7"/>
    <mergeCell ref="BR9:BU9"/>
    <mergeCell ref="BA9:BC9"/>
    <mergeCell ref="CC10:CE10"/>
    <mergeCell ref="CI10:CK10"/>
    <mergeCell ref="BY10:CB10"/>
    <mergeCell ref="CH6:CH7"/>
    <mergeCell ref="CM7:CN7"/>
    <mergeCell ref="CK2:CL2"/>
    <mergeCell ref="CI4:CJ4"/>
    <mergeCell ref="CI2:CJ2"/>
    <mergeCell ref="CK6:CL7"/>
    <mergeCell ref="CK5:CL5"/>
    <mergeCell ref="CI5:CJ5"/>
    <mergeCell ref="FV9:GH9"/>
    <mergeCell ref="DR9:ED9"/>
    <mergeCell ref="ET9:FF9"/>
    <mergeCell ref="CP9:DB9"/>
    <mergeCell ref="CM3:CN3"/>
    <mergeCell ref="CM4:CN4"/>
    <mergeCell ref="CM8:CN8"/>
    <mergeCell ref="CM5:CN5"/>
    <mergeCell ref="B2:E5"/>
    <mergeCell ref="CK3:CL3"/>
    <mergeCell ref="BL9:BM9"/>
    <mergeCell ref="BN9:BQ9"/>
    <mergeCell ref="D7:M7"/>
    <mergeCell ref="BF9:BK9"/>
    <mergeCell ref="BD9:BE9"/>
    <mergeCell ref="CI3:CJ3"/>
    <mergeCell ref="CK4:CL4"/>
    <mergeCell ref="BY9:CE9"/>
  </mergeCells>
  <conditionalFormatting sqref="FR61:FU61 FR56:FU58 FR49:FU51 FR40:FU45 FR22:FU32 FR17:FU18 CM13:CO62 DO13:DQ61 EQ13:ES61 FS13:FU61 W12:AA61 BY13:CB61 DF13:DM61 EH13:EO61 FJ13:FQ61 GL13:GS61">
    <cfRule type="cellIs" priority="358" dxfId="6" operator="greaterThan" stopIfTrue="1">
      <formula>1</formula>
    </cfRule>
  </conditionalFormatting>
  <conditionalFormatting sqref="BL12:BM12">
    <cfRule type="cellIs" priority="364" dxfId="13" operator="greaterThan" stopIfTrue="1">
      <formula>1</formula>
    </cfRule>
    <cfRule type="cellIs" priority="365" dxfId="12" operator="greaterThan" stopIfTrue="1">
      <formula>1</formula>
    </cfRule>
    <cfRule type="cellIs" priority="366" dxfId="6" operator="greaterThan" stopIfTrue="1">
      <formula>1</formula>
    </cfRule>
  </conditionalFormatting>
  <conditionalFormatting sqref="BQ12 BU12:BV12 BL12:BM12">
    <cfRule type="cellIs" priority="362" dxfId="6" operator="greaterThan" stopIfTrue="1">
      <formula>1</formula>
    </cfRule>
    <cfRule type="cellIs" priority="363" dxfId="6" operator="greaterThan" stopIfTrue="1">
      <formula>1</formula>
    </cfRule>
  </conditionalFormatting>
  <conditionalFormatting sqref="BL13:BU61">
    <cfRule type="cellIs" priority="1" dxfId="0" operator="between" stopIfTrue="1">
      <formula>$BZ$4+0.001</formula>
      <formula>0.999</formula>
    </cfRule>
    <cfRule type="cellIs" priority="23" dxfId="1" operator="equal" stopIfTrue="1">
      <formula>"n/a"</formula>
    </cfRule>
    <cfRule type="cellIs" priority="24" dxfId="6" operator="greaterThan" stopIfTrue="1">
      <formula>1</formula>
    </cfRule>
  </conditionalFormatting>
  <conditionalFormatting sqref="W13:AA61 BY13:CB61 DF13:DM61 EH13:EO61 FJ13:FQ61 GL13:GS61">
    <cfRule type="cellIs" priority="22" dxfId="1" operator="equal" stopIfTrue="1">
      <formula>"n/a"</formula>
    </cfRule>
  </conditionalFormatting>
  <conditionalFormatting sqref="CM13:CO61">
    <cfRule type="cellIs" priority="7" dxfId="1" operator="equal" stopIfTrue="1">
      <formula>"n/a"</formula>
    </cfRule>
  </conditionalFormatting>
  <conditionalFormatting sqref="DO13:DQ61">
    <cfRule type="cellIs" priority="6" dxfId="1" operator="equal" stopIfTrue="1">
      <formula>"n/a"</formula>
    </cfRule>
  </conditionalFormatting>
  <conditionalFormatting sqref="EQ13:ES61">
    <cfRule type="cellIs" priority="5" dxfId="1" operator="equal" stopIfTrue="1">
      <formula>"n/a"</formula>
    </cfRule>
  </conditionalFormatting>
  <conditionalFormatting sqref="FS13:FU61">
    <cfRule type="cellIs" priority="4" dxfId="1" operator="equal" stopIfTrue="1">
      <formula>"n/a"</formula>
    </cfRule>
  </conditionalFormatting>
  <conditionalFormatting sqref="BY13:CB61">
    <cfRule type="cellIs" priority="2" dxfId="0" operator="between" stopIfTrue="1">
      <formula>$BZ$4+0.001</formula>
      <formula>0.999</formula>
    </cfRule>
  </conditionalFormatting>
  <dataValidations count="20">
    <dataValidation type="list" showInputMessage="1" showErrorMessage="1" sqref="AV7">
      <formula1>AS$64:AS$67</formula1>
    </dataValidation>
    <dataValidation type="list" showInputMessage="1" showErrorMessage="1" sqref="AV62">
      <formula1>#REF!</formula1>
    </dataValidation>
    <dataValidation type="list" showInputMessage="1" showErrorMessage="1" sqref="AT62:AU62 AW62:AX62 AT7:AU7 AW7:AX7">
      <formula1>#REF!</formula1>
    </dataValidation>
    <dataValidation type="list" allowBlank="1" showInputMessage="1" showErrorMessage="1" sqref="AS62">
      <formula1>$AS$64:$AS$67</formula1>
    </dataValidation>
    <dataValidation type="decimal" operator="notEqual" allowBlank="1" showInputMessage="1" showErrorMessage="1" sqref="P61 AY25:AY27 P22:P54 AY29:AY30 AY40:AY42 P56:P58 P12:P18 AY13:AY15 AY17:AY18">
      <formula1>0</formula1>
    </dataValidation>
    <dataValidation type="list" allowBlank="1" showInputMessage="1" showErrorMessage="1" sqref="AL40:AL61 AL13:AL33">
      <formula1>GE</formula1>
    </dataValidation>
    <dataValidation type="list" allowBlank="1" showInputMessage="1" showErrorMessage="1" sqref="D12:D62">
      <formula1>PCs</formula1>
    </dataValidation>
    <dataValidation type="list" allowBlank="1" showInputMessage="1" showErrorMessage="1" sqref="AS13:AS61">
      <formula1>location</formula1>
    </dataValidation>
    <dataValidation type="list" allowBlank="1" showInputMessage="1" showErrorMessage="1" sqref="AL12">
      <formula1>$AL$64</formula1>
    </dataValidation>
    <dataValidation type="custom" operator="greaterThanOrEqual" allowBlank="1" showInputMessage="1" showErrorMessage="1" error="Please enter one inhalation systemic DNEL value (mg/kg/m3 or mg/m3) or Use DELETE key to remove the DNEL value!" sqref="AA5">
      <formula1>AND(Y5=0,Y5="")</formula1>
    </dataValidation>
    <dataValidation type="decimal" operator="greaterThan" allowBlank="1" showErrorMessage="1" prompt="Please enter a vapor pressure&gt;0!" error="Please enter a vapor pressure&gt;0!" sqref="Y3">
      <formula1>0</formula1>
    </dataValidation>
    <dataValidation allowBlank="1" showInputMessage="1" showErrorMessage="1" prompt="Please provide its reference basis in the next column if changing the default value!" sqref="AQ13:AQ61"/>
    <dataValidation type="decimal" operator="greaterThan" allowBlank="1" showInputMessage="1" showErrorMessage="1" error="Please enter a DNEL value&gt;0 or Use DELETE key to remove the DNEL value!" sqref="AC5">
      <formula1>0</formula1>
    </dataValidation>
    <dataValidation type="decimal" operator="greaterThan" allowBlank="1" showInputMessage="1" showErrorMessage="1" error="Use DELETE key to remove the DNEL value!" sqref="W5">
      <formula1>0</formula1>
    </dataValidation>
    <dataValidation type="decimal" operator="greaterThan" allowBlank="1" showInputMessage="1" showErrorMessage="1" error="Please enter a DNEL value&gt;0 or Use DELETE key to remove the DNEL value!" sqref="S5 U5">
      <formula1>0</formula1>
    </dataValidation>
    <dataValidation allowBlank="1" showInputMessage="1" showErrorMessage="1" prompt="Please provide its reference basis in the next column if changing the default value!" sqref="AB13:AB61 AF13:AF61 AH13:AH61 AJ13:AJ61 AM13:AM61 AO13:AO61"/>
    <dataValidation type="decimal" operator="greaterThan" allowBlank="1" showInputMessage="1" showErrorMessage="1" error="Please enter a numerical value or use &quot;delete&quot; key to clear the content!" sqref="U3">
      <formula1>0</formula1>
    </dataValidation>
    <dataValidation type="list" allowBlank="1" showInputMessage="1" showErrorMessage="1" sqref="BZ4">
      <formula1>"0.9, 0.5, 0.2"</formula1>
    </dataValidation>
    <dataValidation type="list" allowBlank="1" showInputMessage="1" sqref="AD13:AD61">
      <formula1>Freqbands</formula1>
    </dataValidation>
    <dataValidation type="custom" operator="greaterThan" allowBlank="1" showInputMessage="1" showErrorMessage="1" error="Please enter one inhalation systemic DNEL value (mg/kg/m3 or mg/m3) or Use DELETE key to remove the DNEL value!" sqref="Y5">
      <formula1>AND(AA5=0,AA5="")</formula1>
    </dataValidation>
  </dataValidations>
  <printOptions gridLines="1"/>
  <pageMargins left="0.55" right="0.33" top="0.75" bottom="0.75" header="0.3" footer="0.3"/>
  <pageSetup fitToHeight="1" fitToWidth="1" horizontalDpi="600" verticalDpi="600" orientation="landscape" scale="53" r:id="rId3"/>
  <headerFooter>
    <oddFooter>&amp;R&amp;P</oddFooter>
  </headerFooter>
  <legacyDrawing r:id="rId2"/>
</worksheet>
</file>

<file path=xl/worksheets/sheet6.xml><?xml version="1.0" encoding="utf-8"?>
<worksheet xmlns="http://schemas.openxmlformats.org/spreadsheetml/2006/main" xmlns:r="http://schemas.openxmlformats.org/officeDocument/2006/relationships">
  <sheetPr codeName="Sheet2">
    <tabColor rgb="FFFFFF00"/>
    <pageSetUpPr fitToPage="1"/>
  </sheetPr>
  <dimension ref="A1:E126"/>
  <sheetViews>
    <sheetView zoomScale="85" zoomScaleNormal="85" zoomScalePageLayoutView="0" workbookViewId="0" topLeftCell="A1">
      <selection activeCell="C21" sqref="C21"/>
    </sheetView>
  </sheetViews>
  <sheetFormatPr defaultColWidth="9.140625" defaultRowHeight="12.75"/>
  <cols>
    <col min="1" max="1" width="40.7109375" style="263" customWidth="1"/>
    <col min="2" max="2" width="8.00390625" style="263" customWidth="1"/>
    <col min="3" max="3" width="103.140625" style="263" customWidth="1"/>
    <col min="4" max="4" width="4.421875" style="77" customWidth="1"/>
    <col min="5" max="5" width="21.8515625" style="77" customWidth="1"/>
    <col min="6" max="6" width="3.28125" style="77" customWidth="1"/>
    <col min="7" max="7" width="24.00390625" style="77" customWidth="1"/>
    <col min="8" max="8" width="9.140625" style="77" customWidth="1"/>
    <col min="9" max="9" width="19.00390625" style="77" customWidth="1"/>
    <col min="10" max="16384" width="9.140625" style="77" customWidth="1"/>
  </cols>
  <sheetData>
    <row r="1" spans="1:3" s="262" customFormat="1" ht="13.5" thickBot="1">
      <c r="A1" s="323" t="s">
        <v>259</v>
      </c>
      <c r="B1" s="324"/>
      <c r="C1" s="325" t="s">
        <v>260</v>
      </c>
    </row>
    <row r="2" spans="1:3" ht="17.25">
      <c r="A2" s="326" t="s">
        <v>261</v>
      </c>
      <c r="B2" s="327"/>
      <c r="C2" s="328" t="str">
        <f>CSA!B13</f>
        <v>GES USES</v>
      </c>
    </row>
    <row r="3" spans="1:3" ht="12.75">
      <c r="A3" s="329" t="s">
        <v>262</v>
      </c>
      <c r="B3" s="330"/>
      <c r="C3" s="331">
        <v>21</v>
      </c>
    </row>
    <row r="4" spans="1:4" ht="24.75" customHeight="1">
      <c r="A4" s="332" t="s">
        <v>263</v>
      </c>
      <c r="B4" s="330"/>
      <c r="C4" s="333" t="str">
        <f>CSA!B15</f>
        <v>PC LISTS</v>
      </c>
      <c r="D4" s="263"/>
    </row>
    <row r="5" spans="1:3" ht="30" customHeight="1">
      <c r="A5" s="332" t="s">
        <v>264</v>
      </c>
      <c r="B5" s="330"/>
      <c r="C5" s="265" t="str">
        <f>CSA!B14</f>
        <v>DESCRIPTIONS</v>
      </c>
    </row>
    <row r="6" spans="1:3" ht="14.25" customHeight="1">
      <c r="A6" s="334" t="s">
        <v>265</v>
      </c>
      <c r="B6" s="334"/>
      <c r="C6" s="266">
        <f>CSA!AE3</f>
        <v>0</v>
      </c>
    </row>
    <row r="7" spans="1:3" ht="30" customHeight="1" thickBot="1">
      <c r="A7" s="335" t="s">
        <v>266</v>
      </c>
      <c r="B7" s="336"/>
      <c r="C7" s="337">
        <f>CSA!AE5</f>
        <v>0</v>
      </c>
    </row>
    <row r="8" spans="1:3" s="262" customFormat="1" ht="13.5" thickBot="1">
      <c r="A8" s="323" t="s">
        <v>267</v>
      </c>
      <c r="B8" s="338"/>
      <c r="C8" s="339" t="s">
        <v>268</v>
      </c>
    </row>
    <row r="9" spans="1:3" ht="13.5" thickBot="1">
      <c r="A9" s="340" t="s">
        <v>269</v>
      </c>
      <c r="B9" s="341"/>
      <c r="C9" s="342"/>
    </row>
    <row r="10" spans="1:3" s="262" customFormat="1" ht="13.5" thickBot="1">
      <c r="A10" s="267" t="s">
        <v>270</v>
      </c>
      <c r="B10" s="268"/>
      <c r="C10" s="269" t="s">
        <v>271</v>
      </c>
    </row>
    <row r="11" spans="1:3" s="264" customFormat="1" ht="12.75">
      <c r="A11" s="270" t="s">
        <v>272</v>
      </c>
      <c r="B11" s="271"/>
      <c r="C11" s="272"/>
    </row>
    <row r="12" spans="1:3" ht="12.75">
      <c r="A12" s="273" t="s">
        <v>273</v>
      </c>
      <c r="B12" s="274"/>
      <c r="C12" s="265" t="str">
        <f>CSA!W3</f>
        <v>liquid</v>
      </c>
    </row>
    <row r="13" spans="1:3" ht="12.75">
      <c r="A13" s="275" t="s">
        <v>55</v>
      </c>
      <c r="B13" s="274"/>
      <c r="C13" s="276">
        <f>CSA!Y3</f>
        <v>300000</v>
      </c>
    </row>
    <row r="14" spans="1:3" ht="12.75">
      <c r="A14" s="273" t="s">
        <v>274</v>
      </c>
      <c r="B14" s="274"/>
      <c r="C14" s="265" t="str">
        <f>IF(MAX(CSA!AB13:AB61)=0,"","Unless otherwise stated, cover concentrations up to "&amp;(MAX(CSA!AB13:AB61)*100)&amp;"% [ConsOC1]")</f>
        <v>Unless otherwise stated, cover concentrations up to 100% [ConsOC1]</v>
      </c>
    </row>
    <row r="15" spans="1:3" ht="12.75">
      <c r="A15" s="277" t="s">
        <v>275</v>
      </c>
      <c r="B15" s="278"/>
      <c r="C15" s="279" t="str">
        <f>IF(MAX(CSA!AO13:AO61)=0,"","Unless otherwise stated, covers use amounts up to"&amp;MAX(CSA!AO13:AO61)&amp;"g [ConsOC2];")&amp;IF(MAX(CSA!AF13:AF61)=0,"","covers skin contact area up to "&amp;MAX(CSA!AF13:AF61)&amp;"cm2 [ConsOC5]")</f>
        <v>Unless otherwise stated, covers use amounts up to37500g [ConsOC2];covers skin contact area up to 6600cm2 [ConsOC5]</v>
      </c>
    </row>
    <row r="16" spans="1:3" ht="24.75" customHeight="1">
      <c r="A16" s="280" t="s">
        <v>276</v>
      </c>
      <c r="B16" s="281"/>
      <c r="C16" s="265" t="str">
        <f>IF(MAX(CSA!AD13:AD61)&lt;1,("Unless otherwise stated, covers use frequency up to "&amp;MAX(CSA!AD13:AD61)*365&amp;" days per year [ConsOC3];"&amp;"Unless otherwise stated, covers use frequency up to 1 times per day [ConsOC4];"),IF(MAX(CSA!AD13:AD61)&gt;=1,("Unless otherwise stated, covers use frequency up to 365 days per year [ConsOC3];"&amp;"Unless otherwise stated, covers use frequency up to "&amp;MAX(CSA!AD13:AD61)&amp;" times per day [ConsOC4];"),""))&amp;IF(MAX(CSA!AY13:AY61)=0,"","covers exposure up to "&amp;MAX(CSA!AY13:AY61)&amp;" hours per event [ConsOC14]")</f>
        <v>Unless otherwise stated, covers use frequency up to 365 days per year [ConsOC3];Unless otherwise stated, covers use frequency up to 4 times per day [ConsOC4];covers exposure up to 8 hours per event [ConsOC14]</v>
      </c>
    </row>
    <row r="17" spans="1:3" ht="28.5">
      <c r="A17" s="277" t="s">
        <v>277</v>
      </c>
      <c r="B17" s="278"/>
      <c r="C17" s="265" t="s">
        <v>168</v>
      </c>
    </row>
    <row r="18" spans="1:3" s="262" customFormat="1" ht="12.75">
      <c r="A18" s="282" t="s">
        <v>278</v>
      </c>
      <c r="B18" s="283"/>
      <c r="C18" s="284" t="s">
        <v>279</v>
      </c>
    </row>
    <row r="19" spans="1:3" ht="52.5">
      <c r="A19" s="285" t="str">
        <f>CSA!D13&amp;"--"&amp;CSA!E13</f>
        <v>PC1:Adhesives, sealants--Glues, hobby use</v>
      </c>
      <c r="B19" s="286" t="s">
        <v>280</v>
      </c>
      <c r="C19" s="266" t="str">
        <f>CSA!BV13</f>
        <v>Unless otherwise stated, covers concentrations up to 30% [ConsOC1]; covers use up to 364 days/year[ConsOC3]; covers use up to 1 time/on day of use[ConsOC4]; covers skin contact area up to 35,73 cm2 [ConsOC5]; for each use event, covers use amounts up to 9g [ConsOC2]; covers use under typical household ventilation [ConsOC8]; covers use in room size of 20m3[ConsOC11]; for each use event, covers exposure up to 4,00hr/event[ConsOC14]; </v>
      </c>
    </row>
    <row r="20" spans="1:3" ht="12.75">
      <c r="A20" s="145"/>
      <c r="B20" s="286" t="s">
        <v>281</v>
      </c>
      <c r="C20" s="266" t="str">
        <f>CSA!BW13</f>
        <v>No specific RMMs identified beyond those OCs stated</v>
      </c>
    </row>
    <row r="21" spans="1:3" ht="52.5">
      <c r="A21" s="285" t="str">
        <f>CSA!D14&amp;"--"&amp;CSA!E14</f>
        <v>PC1:Adhesives, sealants--Glues DIY-use (carpet glue, tile glue, wood parquet glue)</v>
      </c>
      <c r="B21" s="286" t="s">
        <v>280</v>
      </c>
      <c r="C21" s="266" t="str">
        <f>CSA!BV14</f>
        <v>Unless otherwise stated, covers concentrations up to 30% [ConsOC1]; covers use up to 1 day/year[ConsOC3]; covers use up to 1 time/on day of use[ConsOC4]; covers skin contact area up to 110,00 cm2 [ConsOC5]; for each use event, covers use amounts up to 6390g [ConsOC2]; covers use under typical household ventilation [ConsOC8]; covers use in room size of 20m3[ConsOC11]; for each use event, covers exposure up to 6,00hr/event[ConsOC14]; </v>
      </c>
    </row>
    <row r="22" spans="1:3" ht="12.75">
      <c r="A22" s="145"/>
      <c r="B22" s="286" t="s">
        <v>281</v>
      </c>
      <c r="C22" s="266" t="str">
        <f>CSA!BW14</f>
        <v>Avoid using at a product concentration greater than 10% [ConsRMM1]; </v>
      </c>
    </row>
    <row r="23" spans="1:3" ht="52.5">
      <c r="A23" s="285" t="str">
        <f>CSA!D15&amp;"--"&amp;CSA!E15</f>
        <v>PC1:Adhesives, sealants--Glue from spray</v>
      </c>
      <c r="B23" s="286" t="s">
        <v>280</v>
      </c>
      <c r="C23" s="266" t="str">
        <f>CSA!BV15</f>
        <v>Unless otherwise stated, covers concentrations up to 30% [ConsOC1]; covers use up to 11 days/year[ConsOC3]; covers use up to 1 time/on day of use[ConsOC4]; covers skin contact area up to 35,73 cm2 [ConsOC5]; for each use event, covers use amounts up to 85,05g [ConsOC2]; covers use under typical household ventilation [ConsOC8]; covers use in room size of 20m3[ConsOC11]; for each use event, covers exposure up to 4,00hr/event[ConsOC14]; </v>
      </c>
    </row>
    <row r="24" spans="1:3" ht="12.75">
      <c r="A24" s="145"/>
      <c r="B24" s="286" t="s">
        <v>281</v>
      </c>
      <c r="C24" s="266" t="str">
        <f>CSA!BW15</f>
        <v>No specific RMMs identified beyond those OCs stated</v>
      </c>
    </row>
    <row r="25" spans="1:3" ht="52.5">
      <c r="A25" s="285" t="str">
        <f>CSA!D16&amp;"--"&amp;CSA!E16</f>
        <v>PC1:Adhesives, sealants--Sealants </v>
      </c>
      <c r="B25" s="286" t="s">
        <v>280</v>
      </c>
      <c r="C25" s="266" t="str">
        <f>CSA!BV16</f>
        <v>Unless otherwise stated, covers concentrations up to 30% [ConsOC1]; covers use up to 364 days/year[ConsOC3]; covers use up to 1 time/on day of use[ConsOC4]; covers skin contact area up to 35,73 cm2 [ConsOC5]; for each use event, covers use amounts up to 75g [ConsOC2]; covers use under typical household ventilation [ConsOC8]; covers use in room size of 20m3[ConsOC11]; for each use event, covers exposure up to 1,00hr/event[ConsOC14]; </v>
      </c>
    </row>
    <row r="26" spans="1:3" ht="12.75">
      <c r="A26" s="145"/>
      <c r="B26" s="286" t="s">
        <v>281</v>
      </c>
      <c r="C26" s="266" t="str">
        <f>CSA!BW16</f>
        <v>No specific RMMs identified beyond those OCs stated</v>
      </c>
    </row>
    <row r="27" spans="1:3" ht="52.5">
      <c r="A27" s="285" t="str">
        <f>CSA!D17&amp;"--"&amp;CSA!E17</f>
        <v>PC3:Air care products--Air care, instant action (aerosol sprays)</v>
      </c>
      <c r="B27" s="286" t="s">
        <v>280</v>
      </c>
      <c r="C27" s="266" t="str">
        <f>CSA!BV17</f>
        <v>Unless otherwise stated, covers concentrations up to 50% [ConsOC1]; covers use up to 365 days/year[ConsOC3]; covers use up to 4 times/on day of use[ConsOC4]; for each use event, covers use amounts up to 0,1g [ConsOC2]; covers use under typical household ventilation [ConsOC8]; covers use in room size of 20m3[ConsOC11]; for each use event, covers exposure up to 0,25hr/event[ConsOC14]; </v>
      </c>
    </row>
    <row r="28" spans="1:3" ht="12.75">
      <c r="A28" s="145"/>
      <c r="B28" s="286" t="s">
        <v>281</v>
      </c>
      <c r="C28" s="266" t="str">
        <f>CSA!BW17</f>
        <v>No specific RMMs identified beyond those OCs stated</v>
      </c>
    </row>
    <row r="29" spans="1:3" ht="52.5">
      <c r="A29" s="285" t="str">
        <f>CSA!D18&amp;"--"&amp;CSA!E18</f>
        <v>PC3:Air care products--Air care, continuous action (solid and liquid)</v>
      </c>
      <c r="B29" s="286" t="s">
        <v>280</v>
      </c>
      <c r="C29" s="266" t="str">
        <f>CSA!BV18</f>
        <v>Unless otherwise stated, covers concentrations up to 10% [ConsOC1]; covers use up to 364 days/year[ConsOC3]; covers use up to 1 time/on day of use[ConsOC4]; covers skin contact area up to 35,70 cm2 [ConsOC5]; for each use event, covers use amounts up to 0,48g [ConsOC2]; covers use under typical household ventilation [ConsOC8]; covers use in room size of 20m3[ConsOC11]; for each use event, covers exposure up to 8,00hr/event[ConsOC14]; </v>
      </c>
    </row>
    <row r="30" spans="1:3" ht="12.75">
      <c r="A30" s="145"/>
      <c r="B30" s="286" t="s">
        <v>281</v>
      </c>
      <c r="C30" s="266" t="str">
        <f>CSA!BW18</f>
        <v>No specific RMMs identified beyond those OCs stated</v>
      </c>
    </row>
    <row r="31" spans="1:3" ht="52.5">
      <c r="A31" s="285" t="str">
        <f>CSA!D19&amp;"--"&amp;CSA!E19</f>
        <v>PC4_n:Anti-freeze and de-icing products--Washing car window</v>
      </c>
      <c r="B31" s="286" t="s">
        <v>280</v>
      </c>
      <c r="C31" s="266" t="str">
        <f>CSA!BV19</f>
        <v>Unless otherwise stated, covers concentrations up to 1% [ConsOC1]; covers use up to 364 days/year[ConsOC3]; covers use up to 1 time/on day of use[ConsOC4]; for each use event, covers use amounts up to 0,5g [ConsOC2]; Covers use in a one car garage (34m3) under typcial ventilation [ConsOC10]; covers use in room size of 34m3[ConsOC11]; for each use event, covers exposure up to 0,02hr/event[ConsOC14]; </v>
      </c>
    </row>
    <row r="32" spans="1:3" ht="12.75">
      <c r="A32" s="145"/>
      <c r="B32" s="286" t="s">
        <v>281</v>
      </c>
      <c r="C32" s="266" t="str">
        <f>CSA!BW19</f>
        <v>No specific RMMs identified beyond those OCs stated</v>
      </c>
    </row>
    <row r="33" spans="1:3" ht="52.5">
      <c r="A33" s="285" t="str">
        <f>CSA!D20&amp;"--"&amp;CSA!E20</f>
        <v>PC4_n:Anti-freeze and de-icing products--Pouring into radiator</v>
      </c>
      <c r="B33" s="286" t="s">
        <v>280</v>
      </c>
      <c r="C33" s="266" t="str">
        <f>CSA!BV20</f>
        <v>Unless otherwise stated, covers concentrations up to 10% [ConsOC1]; covers use up to 364 days/year[ConsOC3]; covers use up to 1 time/on day of use[ConsOC4]; covers skin contact area up to 428,00 cm2 [ConsOC5]; for each use event, covers use amounts up to 2000g [ConsOC2]; Covers use in a one car garage (34m3) under typcial ventilation [ConsOC10]; covers use in room size of 34m3[ConsOC11]; for each use event, covers exposure up to 0,17hr/event[ConsOC14]; </v>
      </c>
    </row>
    <row r="34" spans="1:3" ht="12.75">
      <c r="A34" s="145"/>
      <c r="B34" s="286" t="s">
        <v>281</v>
      </c>
      <c r="C34" s="266" t="str">
        <f>CSA!BW20</f>
        <v>No specific RMMs identified beyond those OCs stated</v>
      </c>
    </row>
    <row r="35" spans="1:3" ht="52.5">
      <c r="A35" s="285" t="str">
        <f>CSA!D21&amp;"--"&amp;CSA!E21</f>
        <v>PC4_n:Anti-freeze and de-icing products--Lock de-icer</v>
      </c>
      <c r="B35" s="286" t="s">
        <v>280</v>
      </c>
      <c r="C35" s="266" t="str">
        <f>CSA!BV21</f>
        <v>Unless otherwise stated, covers concentrations up to 50% [ConsOC1]; covers use up to 364 days/year[ConsOC3]; covers use up to 1 time/on day of use[ConsOC4]; covers skin contact area up to 214,40 cm2 [ConsOC5]; for each use event, covers use amounts up to 4g [ConsOC2]; Covers use in a one car garage (34m3) under typcial ventilation [ConsOC10]; covers use in room size of 34m3[ConsOC11]; for each use event, covers exposure up to 0,25hr/event[ConsOC14]; </v>
      </c>
    </row>
    <row r="36" spans="1:3" ht="12.75">
      <c r="A36" s="145"/>
      <c r="B36" s="286" t="s">
        <v>281</v>
      </c>
      <c r="C36" s="266" t="str">
        <f>CSA!BW21</f>
        <v>Avoid using at a product concentration greater than 13% [ConsRMM1]; </v>
      </c>
    </row>
    <row r="37" spans="1:3" ht="52.5">
      <c r="A37" s="285" t="str">
        <f>CSA!D22&amp;"--"&amp;CSA!E22</f>
        <v>PC8_n: Biocidal products (excipient use only for solvent products)--Laundry and dish washing products</v>
      </c>
      <c r="B37" s="286" t="s">
        <v>280</v>
      </c>
      <c r="C37" s="266" t="str">
        <f>CSA!BV22</f>
        <v>Unless otherwise stated, covers concentrations up to 5% [ConsOC1]; covers use up to 364 days/year[ConsOC3]; covers use up to 1 time/on day of use[ConsOC4]; covers skin contact area up to 857,50 cm2 [ConsOC5]; for each use event, covers use amounts up to 15g [ConsOC2]; covers use under typical household ventilation [ConsOC8]; covers use in room size of 20m3[ConsOC11]; for each use event, covers exposure up to 0,50hr/event[ConsOC14]; </v>
      </c>
    </row>
    <row r="38" spans="1:3" ht="12.75">
      <c r="A38" s="145"/>
      <c r="B38" s="286" t="s">
        <v>281</v>
      </c>
      <c r="C38" s="266" t="str">
        <f>CSA!BW22</f>
        <v>No specific RMMs identified beyond those OCs stated</v>
      </c>
    </row>
    <row r="39" spans="1:3" ht="66">
      <c r="A39" s="285" t="str">
        <f>CSA!D23&amp;"--"&amp;CSA!E23</f>
        <v>PC8_n: Biocidal products (excipient use only for solvent products)--Cleaners, liquids (all purpose cleaners, sanitary products, floor cleaners, glass cleaners, carpet cleaners, metal cleaners ) </v>
      </c>
      <c r="B39" s="286" t="s">
        <v>280</v>
      </c>
      <c r="C39" s="266" t="str">
        <f>CSA!BV23</f>
        <v>Unless otherwise stated, covers concentrations up to 5% [ConsOC1]; covers use up to 364 days/year[ConsOC3]; covers use up to 1 time/on day of use[ConsOC4]; covers skin contact area up to 857,50 cm2 [ConsOC5]; for each use event, covers use amounts up to 27g [ConsOC2]; covers use under typical household ventilation [ConsOC8]; covers use in room size of 20m3[ConsOC11]; for each use event, covers exposure up to 0,33hr/event[ConsOC14]; </v>
      </c>
    </row>
    <row r="40" spans="1:3" ht="12.75">
      <c r="A40" s="145"/>
      <c r="B40" s="286" t="s">
        <v>281</v>
      </c>
      <c r="C40" s="266" t="str">
        <f>CSA!BW23</f>
        <v>No specific RMMs identified beyond those OCs stated</v>
      </c>
    </row>
    <row r="41" spans="1:3" ht="52.5">
      <c r="A41" s="285" t="str">
        <f>CSA!D24&amp;"--"&amp;CSA!E24</f>
        <v>PC8_n: Biocidal products (excipient use only for solvent products)--Cleaners, trigger sprays (all purpose cleaners, sanitary products,  glass cleaners) </v>
      </c>
      <c r="B41" s="286" t="s">
        <v>280</v>
      </c>
      <c r="C41" s="266" t="str">
        <f>CSA!BV24</f>
        <v>Unless otherwise stated, covers concentrations up to 15% [ConsOC1]; covers use up to 364 days/year[ConsOC3]; covers use up to 1 time/on day of use[ConsOC4]; covers skin contact area up to 428,00 cm2 [ConsOC5]; for each use event, covers use amounts up to 35g [ConsOC2]; covers use under typical household ventilation [ConsOC8]; covers use in room size of 20m3[ConsOC11]; for each use event, covers exposure up to 0,17hr/event[ConsOC14]; </v>
      </c>
    </row>
    <row r="42" spans="1:3" ht="12.75">
      <c r="A42" s="145"/>
      <c r="B42" s="286" t="s">
        <v>281</v>
      </c>
      <c r="C42" s="266" t="str">
        <f>CSA!BW24</f>
        <v>No specific RMMs identified beyond those OCs stated</v>
      </c>
    </row>
    <row r="43" spans="1:3" ht="52.5">
      <c r="A43" s="285" t="str">
        <f>CSA!D25&amp;"--"&amp;CSA!E25</f>
        <v>PC9a:Coatings, paints, thinners,paint removers--Waterborne latex wall paint</v>
      </c>
      <c r="B43" s="286" t="s">
        <v>280</v>
      </c>
      <c r="C43" s="266" t="str">
        <f>CSA!BV25</f>
        <v>Unless otherwise stated, covers concentrations up to 1,5% [ConsOC1]; covers use up to 11 days/year[ConsOC3]; covers use up to 1 time/on day of use[ConsOC4]; covers skin contact area up to 428,75 cm2 [ConsOC5]; for each use event, covers use amounts up to 2760g [ConsOC2]; covers use under typical household ventilation [ConsOC8]; covers use in room size of 20m3[ConsOC11]; for each use event, covers exposure up to 2,20hr/event[ConsOC14]; </v>
      </c>
    </row>
    <row r="44" spans="1:3" ht="12.75">
      <c r="A44" s="145"/>
      <c r="B44" s="286" t="s">
        <v>281</v>
      </c>
      <c r="C44" s="266" t="str">
        <f>CSA!BW25</f>
        <v>No specific RMMs identified beyond those OCs stated</v>
      </c>
    </row>
    <row r="45" spans="1:3" ht="52.5">
      <c r="A45" s="285" t="str">
        <f>CSA!D26&amp;"--"&amp;CSA!E26</f>
        <v>PC9a:Coatings, paints, thinners,paint removers--Solvent rich, high solid, water borne paint</v>
      </c>
      <c r="B45" s="286" t="s">
        <v>280</v>
      </c>
      <c r="C45" s="266" t="str">
        <f>CSA!BV26</f>
        <v>Unless otherwise stated, covers concentrations up to 27,5% [ConsOC1]; covers use up to 11 days/year[ConsOC3]; covers use up to 1 time/on day of use[ConsOC4]; covers skin contact area up to 428,75 cm2 [ConsOC5]; for each use event, covers use amounts up to 744g [ConsOC2]; covers use under typical household ventilation [ConsOC8]; covers use in room size of 20m3[ConsOC11]; for each use event, covers exposure up to 2,20hr/event[ConsOC14]; </v>
      </c>
    </row>
    <row r="46" spans="1:3" ht="12.75">
      <c r="A46" s="145"/>
      <c r="B46" s="286" t="s">
        <v>281</v>
      </c>
      <c r="C46" s="266" t="str">
        <f>CSA!BW26</f>
        <v>No specific RMMs identified beyond those OCs stated</v>
      </c>
    </row>
    <row r="47" spans="1:3" ht="52.5">
      <c r="A47" s="285" t="str">
        <f>CSA!D27&amp;"--"&amp;CSA!E27</f>
        <v>PC9a:Coatings, paints, thinners,paint removers--Aerosol spray can </v>
      </c>
      <c r="B47" s="286" t="s">
        <v>280</v>
      </c>
      <c r="C47" s="266" t="str">
        <f>CSA!BV27</f>
        <v>Unless otherwise stated, covers concentrations up to 50% [ConsOC1]; covers use up to 11 days/year[ConsOC3]; covers use up to 1 time/on day of use[ConsOC4]; for each use event, covers use amounts up to 215g [ConsOC2]; Covers use in a one car garage (34m3) under typcial ventilation [ConsOC10]; covers use in room size of 34m3[ConsOC11]; for each use event, covers exposure up to 0,33hr/event[ConsOC14]; </v>
      </c>
    </row>
    <row r="48" spans="1:3" ht="12.75">
      <c r="A48" s="145"/>
      <c r="B48" s="286" t="s">
        <v>281</v>
      </c>
      <c r="C48" s="266" t="str">
        <f>CSA!BW27</f>
        <v>No specific RMMs identified beyond those OCs stated</v>
      </c>
    </row>
    <row r="49" spans="1:3" ht="52.5">
      <c r="A49" s="285" t="str">
        <f>CSA!D28&amp;"--"&amp;CSA!E28</f>
        <v>PC9a:Coatings, paints, thinners,paint removers--Removers (paint-, glue-, wall paper-, sealant-remover)</v>
      </c>
      <c r="B49" s="286" t="s">
        <v>280</v>
      </c>
      <c r="C49" s="266" t="str">
        <f>CSA!BV28</f>
        <v>Unless otherwise stated, covers concentrations up to 50% [ConsOC1]; covers use up to 11 days/year[ConsOC3]; covers use up to 1 time/on day of use[ConsOC4]; covers skin contact area up to 857,50 cm2 [ConsOC5]; for each use event, covers use amounts up to 491g [ConsOC2]; covers use under typical household ventilation [ConsOC8]; covers use in room size of 20m3[ConsOC11]; for each use event, covers exposure up to 2,00hr/event[ConsOC14]; </v>
      </c>
    </row>
    <row r="50" spans="1:3" ht="12.75">
      <c r="A50" s="145"/>
      <c r="B50" s="286" t="s">
        <v>281</v>
      </c>
      <c r="C50" s="266" t="str">
        <f>CSA!BW28</f>
        <v>No specific RMMs identified beyond those OCs stated</v>
      </c>
    </row>
    <row r="51" spans="1:3" ht="52.5">
      <c r="A51" s="285" t="str">
        <f>CSA!D29&amp;"--"&amp;CSA!E29</f>
        <v>PC9b:Fillers, putties, plasters, modeling clay--Fillers and putty </v>
      </c>
      <c r="B51" s="286" t="s">
        <v>280</v>
      </c>
      <c r="C51" s="266" t="str">
        <f>CSA!BV29</f>
        <v>Unless otherwise stated, covers concentrations up to 2% [ConsOC1]; covers use up to 51 days/year[ConsOC3]; covers use up to 1 time/on day of use[ConsOC4]; covers skin contact area up to 35,73 cm2 [ConsOC5]; for each use event, covers use amounts up to 85g [ConsOC2]; covers use under typical household ventilation [ConsOC8]; covers use in room size of 20m3[ConsOC11]; for each use event, covers exposure up to 4,00hr/event[ConsOC14]; </v>
      </c>
    </row>
    <row r="52" spans="1:3" ht="12.75">
      <c r="A52" s="145"/>
      <c r="B52" s="286" t="s">
        <v>281</v>
      </c>
      <c r="C52" s="266" t="str">
        <f>CSA!BW29</f>
        <v>No specific RMMs identified beyond those OCs stated</v>
      </c>
    </row>
    <row r="53" spans="1:3" ht="52.5">
      <c r="A53" s="285" t="str">
        <f>CSA!D30&amp;"--"&amp;CSA!E30</f>
        <v>PC9b:Fillers, putties, plasters, modeling clay--Plasters and floor equalizers</v>
      </c>
      <c r="B53" s="286" t="s">
        <v>280</v>
      </c>
      <c r="C53" s="266" t="str">
        <f>CSA!BV30</f>
        <v>Unless otherwise stated, covers concentrations up to 2% [ConsOC1]; covers use up to 51 days/year[ConsOC3]; covers use up to 1 time/on day of use[ConsOC4]; covers skin contact area up to 857,50 cm2 [ConsOC5]; for each use event, covers use amounts up to 13800g [ConsOC2]; covers use under typical household ventilation [ConsOC8]; covers use in room size of 20m3[ConsOC11]; for each use event, covers exposure up to 2,00hr/event[ConsOC14]; </v>
      </c>
    </row>
    <row r="54" spans="1:3" ht="26.25">
      <c r="A54" s="145"/>
      <c r="B54" s="286" t="s">
        <v>281</v>
      </c>
      <c r="C54" s="266" t="str">
        <f>CSA!BW30</f>
        <v>Avoid using at a product concentration greater than 1% [ConsRMM1]; For each use event, avoid using a product amount greater than 6900g [ConsRMM2]; Avoid using when windows closed [ConsRMM8]; </v>
      </c>
    </row>
    <row r="55" spans="1:3" ht="39">
      <c r="A55" s="285" t="str">
        <f>CSA!D31&amp;"--"&amp;CSA!E31</f>
        <v>PC9b:Fillers, putties, plasters, modeling clay--Modelling clay</v>
      </c>
      <c r="B55" s="286" t="s">
        <v>280</v>
      </c>
      <c r="C55" s="266" t="str">
        <f>CSA!BV31</f>
        <v>Unless otherwise stated, covers concentrations up to 1% [ConsOC1]; covers use up to 364 days/year[ConsOC3]; covers use up to 1 time/on day of use[ConsOC4]; covers skin contact area up to 254,40 cm2 [ConsOC5]; for each use event, assumes swallowed amount of 1g [ConsOC13]; </v>
      </c>
    </row>
    <row r="56" spans="1:3" ht="12.75">
      <c r="A56" s="145"/>
      <c r="B56" s="286" t="s">
        <v>281</v>
      </c>
      <c r="C56" s="266" t="str">
        <f>CSA!BW31</f>
        <v>No specific RMMs identified beyond those OCs stated</v>
      </c>
    </row>
    <row r="57" spans="1:3" ht="39">
      <c r="A57" s="285" t="str">
        <f>CSA!D32&amp;"--"&amp;CSA!E32</f>
        <v>PC9c:Finger paints --Finger paints</v>
      </c>
      <c r="B57" s="286" t="s">
        <v>280</v>
      </c>
      <c r="C57" s="266" t="str">
        <f>CSA!BV32</f>
        <v>Unless otherwise stated, covers concentrations up to 50% [ConsOC1]; covers use up to 364 days/year[ConsOC3]; covers use up to 1 time/on day of use[ConsOC4]; covers skin contact area up to 254,40 cm2 [ConsOC5]; for each use event, assumes swallowed amount of 1,35g [ConsOC13]; </v>
      </c>
    </row>
    <row r="58" spans="1:3" ht="12.75">
      <c r="A58" s="145"/>
      <c r="B58" s="286" t="s">
        <v>281</v>
      </c>
      <c r="C58" s="266" t="str">
        <f>CSA!BW32</f>
        <v>Avoid using at a product concentration greater than 5% [ConsRMM1]; </v>
      </c>
    </row>
    <row r="59" spans="1:3" ht="39">
      <c r="A59" s="285" t="str">
        <f>CSA!D33&amp;"--"&amp;CSA!E33</f>
        <v>PC12:Fertilizers--Lawn and garden preparations</v>
      </c>
      <c r="B59" s="286" t="s">
        <v>280</v>
      </c>
      <c r="C59" s="266" t="str">
        <f>CSA!BV33</f>
        <v>Unless otherwise stated, covers concentrations up to 50% [ConsOC1]; covers use up to 364 days/year[ConsOC3]; covers use up to 1 time/on day of use[ConsOC4]; covers skin contact area up to 857,50 cm2 [ConsOC5]; for each use event, assumes swallowed amount of 0,3g [ConsOC13]; </v>
      </c>
    </row>
    <row r="60" spans="1:3" ht="12.75">
      <c r="A60" s="145"/>
      <c r="B60" s="286" t="s">
        <v>281</v>
      </c>
      <c r="C60" s="266" t="str">
        <f>CSA!BW33</f>
        <v>Avoid using at a product concentration greater than 10% [ConsRMM1]; </v>
      </c>
    </row>
    <row r="61" spans="1:3" ht="52.5">
      <c r="A61" s="285" t="str">
        <f>CSA!D34&amp;"--"&amp;CSA!E34</f>
        <v>PC13:Fuels--Liquid - subcategories added: Automotive Refuelling</v>
      </c>
      <c r="B61" s="286" t="s">
        <v>280</v>
      </c>
      <c r="C61" s="266" t="str">
        <f>CSA!BV34</f>
        <v>Unless otherwise stated, covers concentrations up to 100% [ConsOC1]; covers use up to 364 days/year[ConsOC3]; covers use up to 1 time/on day of use[ConsOC4]; covers skin contact area up to 210,00 cm2 [ConsOC5]; for each use event, covers use amounts up to 37500g [ConsOC2]; covers outdoor use [ConsOC12]; covers use in room size of 100m3[ConsOC11]; for each use event, covers exposure up to 0,05hr/event[ConsOC14]; </v>
      </c>
    </row>
    <row r="62" spans="1:3" ht="12.75">
      <c r="A62" s="145"/>
      <c r="B62" s="286" t="s">
        <v>281</v>
      </c>
      <c r="C62" s="266" t="str">
        <f>CSA!BW34</f>
        <v>No specific RMMs developed beyond those OCs stated</v>
      </c>
    </row>
    <row r="63" spans="1:3" ht="52.5">
      <c r="A63" s="285" t="str">
        <f>CSA!D35&amp;"--"&amp;CSA!E35</f>
        <v>PC13:Fuels--Liquid - subcategories added: Scooter Refuelling</v>
      </c>
      <c r="B63" s="286" t="s">
        <v>280</v>
      </c>
      <c r="C63" s="266" t="str">
        <f>CSA!BV35</f>
        <v>Unless otherwise stated, covers concentrations up to 100% [ConsOC1]; covers use up to 364 days/year[ConsOC3]; covers use up to 1 time/on day of use[ConsOC4]; covers skin contact area up to 210,00 cm2 [ConsOC5]; for each use event, covers use amounts up to 3750g [ConsOC2]; covers outdoor use [ConsOC12]; covers use in room size of 100m3[ConsOC11]; for each use event, covers exposure up to 0,03hr/event[ConsOC14]; </v>
      </c>
    </row>
    <row r="64" spans="1:3" ht="12.75">
      <c r="A64" s="145"/>
      <c r="B64" s="286" t="s">
        <v>281</v>
      </c>
      <c r="C64" s="266" t="str">
        <f>CSA!BW35</f>
        <v>No specific RMMs developed beyond those OCs stated</v>
      </c>
    </row>
    <row r="65" spans="1:3" ht="52.5">
      <c r="A65" s="285" t="str">
        <f>CSA!D36&amp;"--"&amp;CSA!E36</f>
        <v>PC13:Fuels--Liquid - subcategories added: Garden Equipment - Use</v>
      </c>
      <c r="B65" s="286" t="s">
        <v>280</v>
      </c>
      <c r="C65" s="266" t="str">
        <f>CSA!BV36</f>
        <v>Unless otherwise stated, covers concentrations up to 100% [ConsOC1]; covers use up to 51 days/year[ConsOC3]; covers use up to 1 time/on day of use[ConsOC4]; for each use event, covers use amounts up to 750g [ConsOC2]; covers outdoor use [ConsOC12]; covers use in room size of 100m3[ConsOC11]; for each use event, covers exposure up to 2,00hr/event[ConsOC14]; </v>
      </c>
    </row>
    <row r="66" spans="1:3" ht="12.75">
      <c r="A66" s="145"/>
      <c r="B66" s="286" t="s">
        <v>281</v>
      </c>
      <c r="C66" s="266" t="str">
        <f>CSA!BW36</f>
        <v>No specific RMMs developed beyond those OCs stated</v>
      </c>
    </row>
    <row r="67" spans="1:3" ht="52.5">
      <c r="A67" s="285" t="str">
        <f>CSA!D37&amp;"--"&amp;CSA!E37</f>
        <v>PC13:Fuels--Liquid (subcategories added): Garden Equipment - Refueling</v>
      </c>
      <c r="B67" s="286" t="s">
        <v>280</v>
      </c>
      <c r="C67" s="266" t="str">
        <f>CSA!BV37</f>
        <v>Unless otherwise stated, covers concentrations up to 100% [ConsOC1]; covers use up to 51 days/year[ConsOC3]; covers use up to 1 time/on day of use[ConsOC4]; covers skin contact area up to 420,00 cm2 [ConsOC5]; for each use event, covers use amounts up to 750g [ConsOC2]; Covers use in a one car garage (34m3) under typcial ventilation [ConsOC10]; covers use in room size of 34m3[ConsOC11]; for each use event, covers exposure up to 0,03hr/event[ConsOC14]; </v>
      </c>
    </row>
    <row r="68" spans="1:3" ht="12.75">
      <c r="A68" s="145"/>
      <c r="B68" s="286" t="s">
        <v>281</v>
      </c>
      <c r="C68" s="266" t="str">
        <f>CSA!BW37</f>
        <v>No specific RMMs developed beyond those OCs stated</v>
      </c>
    </row>
    <row r="69" spans="1:3" ht="52.5">
      <c r="A69" s="285" t="str">
        <f>CSA!D38&amp;"--"&amp;CSA!E38</f>
        <v>PC13:Fuels--Liquid (subcategories added): Home space heater fuel</v>
      </c>
      <c r="B69" s="286" t="s">
        <v>280</v>
      </c>
      <c r="C69" s="287" t="str">
        <f>CSA!BV38</f>
        <v>Unless otherwise stated, covers concentrations up to 100% [ConsOC1]; covers use up to 364 days/year[ConsOC3]; covers use up to 1 time/on day of use[ConsOC4]; covers skin contact area up to 210,00 cm2 [ConsOC5]; for each use event, covers use amounts up to 3000g [ConsOC2]; covers use under typical household ventilation [ConsOC8]; covers use in room size of 20m3[ConsOC11]; for each use event, covers exposure up to 0,03hr/event[ConsOC14]; </v>
      </c>
    </row>
    <row r="70" spans="1:3" ht="12.75">
      <c r="A70" s="145"/>
      <c r="B70" s="286" t="s">
        <v>281</v>
      </c>
      <c r="C70" s="287" t="str">
        <f>CSA!BW38</f>
        <v>No specific RMMs developed beyond those OCs stated</v>
      </c>
    </row>
    <row r="71" spans="1:5" s="262" customFormat="1" ht="52.5">
      <c r="A71" s="285" t="str">
        <f>CSA!D39&amp;"--"&amp;CSA!E39</f>
        <v>PC13:Fuels--Liquid - subcategories added: Lamp oil</v>
      </c>
      <c r="B71" s="286" t="s">
        <v>280</v>
      </c>
      <c r="C71" s="287" t="str">
        <f>CSA!BV39</f>
        <v>Unless otherwise stated, covers concentrations up to 100% [ConsOC1]; covers use up to 364 days/year[ConsOC3]; covers use up to 1 time/on day of use[ConsOC4]; covers skin contact area up to 210,00 cm2 [ConsOC5]; for each use event, covers use amounts up to 100g [ConsOC2]; covers use under typical household ventilation [ConsOC8]; covers use in room size of 20m3[ConsOC11]; for each use event, covers exposure up to 0,01hr/event[ConsOC14]; </v>
      </c>
      <c r="E71" s="77"/>
    </row>
    <row r="72" spans="1:3" ht="12.75">
      <c r="A72" s="145"/>
      <c r="B72" s="286" t="s">
        <v>281</v>
      </c>
      <c r="C72" s="287" t="str">
        <f>CSA!BW39</f>
        <v>No specific RMMs developed beyond those OCs stated</v>
      </c>
    </row>
    <row r="73" spans="1:3" ht="52.5">
      <c r="A73" s="285" t="str">
        <f>CSA!D40&amp;"--"&amp;CSA!E40</f>
        <v>PC15_n: Non-metal surface treatment products--Waterborne latex wall paint</v>
      </c>
      <c r="B73" s="286" t="s">
        <v>280</v>
      </c>
      <c r="C73" s="287" t="str">
        <f>CSA!BV40</f>
        <v>Unless otherwise stated, covers concentrations up to 1,5% [ConsOC1]; covers use up to 11 days/year[ConsOC3]; covers use up to 1 time/on day of use[ConsOC4]; covers skin contact area up to 428,75 cm2 [ConsOC5]; for each use event, covers use amounts up to 2760g [ConsOC2]; covers use under typical household ventilation [ConsOC8]; covers use in room size of 20m3[ConsOC11]; for each use event, covers exposure up to 2,20hr/event[ConsOC14]; </v>
      </c>
    </row>
    <row r="74" spans="1:3" ht="12.75">
      <c r="A74" s="145"/>
      <c r="B74" s="286" t="s">
        <v>281</v>
      </c>
      <c r="C74" s="287" t="str">
        <f>CSA!BW40</f>
        <v>No specific RMMs identified beyond those OCs stated</v>
      </c>
    </row>
    <row r="75" spans="1:3" ht="52.5">
      <c r="A75" s="285" t="str">
        <f>CSA!D41&amp;"--"&amp;CSA!E41</f>
        <v>PC15_n: Non-metal surface treatment products--Solvent rich, high solid, water borne paint</v>
      </c>
      <c r="B75" s="286" t="s">
        <v>280</v>
      </c>
      <c r="C75" s="287" t="str">
        <f>CSA!BV41</f>
        <v>Unless otherwise stated, covers concentrations up to 27,5% [ConsOC1]; covers use up to 11 days/year[ConsOC3]; covers use up to 1 time/on day of use[ConsOC4]; covers skin contact area up to 428,75 cm2 [ConsOC5]; for each use event, covers use amounts up to 744g [ConsOC2]; covers use under typical household ventilation [ConsOC8]; covers use in room size of 20m3[ConsOC11]; for each use event, covers exposure up to 2,20hr/event[ConsOC14]; </v>
      </c>
    </row>
    <row r="76" spans="1:3" ht="12.75">
      <c r="A76" s="145"/>
      <c r="B76" s="286" t="s">
        <v>281</v>
      </c>
      <c r="C76" s="287" t="str">
        <f>CSA!BW41</f>
        <v>No specific RMMs identified beyond those OCs stated</v>
      </c>
    </row>
    <row r="77" spans="1:3" ht="52.5">
      <c r="A77" s="285" t="str">
        <f>CSA!D42&amp;"--"&amp;CSA!E42</f>
        <v>PC15_n: Non-metal surface treatment products--Aerosol spray can </v>
      </c>
      <c r="B77" s="286" t="s">
        <v>280</v>
      </c>
      <c r="C77" s="287" t="str">
        <f>CSA!BV42</f>
        <v>Unless otherwise stated, covers concentrations up to 50% [ConsOC1]; covers use up to 11 days/year[ConsOC3]; covers use up to 1 time/on day of use[ConsOC4]; for each use event, covers use amounts up to 215g [ConsOC2]; Covers use in a one car garage (34m3) under typcial ventilation [ConsOC10]; covers use in room size of 34m3[ConsOC11]; for each use event, covers exposure up to 0,33hr/event[ConsOC14]; </v>
      </c>
    </row>
    <row r="78" spans="1:3" ht="12.75">
      <c r="A78" s="145"/>
      <c r="B78" s="286" t="s">
        <v>281</v>
      </c>
      <c r="C78" s="287" t="str">
        <f>CSA!BW42</f>
        <v>No specific RMMs identified beyond those OCs stated</v>
      </c>
    </row>
    <row r="79" spans="1:3" ht="52.5">
      <c r="A79" s="285" t="str">
        <f>CSA!D43&amp;"--"&amp;CSA!E43</f>
        <v>PC15_n: Non-metal surface treatment products--Removers (paint-, glue-, wall paper-, sealant-remover)</v>
      </c>
      <c r="B79" s="286" t="s">
        <v>280</v>
      </c>
      <c r="C79" s="287" t="str">
        <f>CSA!BV43</f>
        <v>Unless otherwise stated, covers concentrations up to 50% [ConsOC1]; covers use up to 11 days/year[ConsOC3]; covers use up to 1 time/on day of use[ConsOC4]; covers skin contact area up to 857,50 cm2 [ConsOC5]; for each use event, covers use amounts up to 491g [ConsOC2]; covers use under typical household ventilation [ConsOC8]; covers use in room size of 20m3[ConsOC11]; for each use event, covers exposure up to 2,00hr/event[ConsOC14]; </v>
      </c>
    </row>
    <row r="80" spans="1:3" ht="12.75">
      <c r="A80" s="145"/>
      <c r="B80" s="286" t="s">
        <v>281</v>
      </c>
      <c r="C80" s="287" t="str">
        <f>CSA!BW43</f>
        <v>No specific RMMs identified beyond those OCs stated</v>
      </c>
    </row>
    <row r="81" spans="1:3" ht="52.5">
      <c r="A81" s="285" t="str">
        <f>CSA!D44&amp;"--"&amp;CSA!E44</f>
        <v>PC16_n: Heat transfer fluids--Liquids</v>
      </c>
      <c r="B81" s="286" t="s">
        <v>280</v>
      </c>
      <c r="C81" s="287" t="str">
        <f>CSA!BV44</f>
        <v>Unless otherwise stated, covers concentrations up to 100% [ConsOC1]; covers use up to 11 days/year[ConsOC3]; covers use up to 1 time/on day of use[ConsOC4]; covers skin contact area up to 468,00 cm2 [ConsOC5]; for each use event, covers use amounts up to 2200g [ConsOC2]; Covers use in a one car garage (34m3) under typcial ventilation [ConsOC10]; covers use in room size of 34m3[ConsOC11]; for each use event, covers exposure up to 0,17hr/event[ConsOC14]; </v>
      </c>
    </row>
    <row r="82" spans="1:3" ht="12.75">
      <c r="A82" s="145"/>
      <c r="B82" s="286" t="s">
        <v>281</v>
      </c>
      <c r="C82" s="287" t="str">
        <f>CSA!BW44</f>
        <v>No specific RMMs identified beyond those OCs stated</v>
      </c>
    </row>
    <row r="83" spans="1:3" ht="52.5">
      <c r="A83" s="285" t="str">
        <f>CSA!D45&amp;"--"&amp;CSA!E45</f>
        <v>PC17_n: Hydraulic fluids--Liquids</v>
      </c>
      <c r="B83" s="286" t="s">
        <v>280</v>
      </c>
      <c r="C83" s="287" t="str">
        <f>CSA!BV45</f>
        <v>Unless otherwise stated, covers concentrations up to 100% [ConsOC1]; covers use up to 11 days/year[ConsOC3]; covers use up to 1 time/on day of use[ConsOC4]; covers skin contact area up to 468,00 cm2 [ConsOC5]; for each use event, covers use amounts up to 2200g [ConsOC2]; Covers use in a one car garage (34m3) under typcial ventilation [ConsOC10]; covers use in room size of 34m3[ConsOC11]; for each use event, covers exposure up to 0,17hr/event[ConsOC14]; </v>
      </c>
    </row>
    <row r="84" spans="1:3" ht="12.75">
      <c r="A84" s="145"/>
      <c r="B84" s="286" t="s">
        <v>281</v>
      </c>
      <c r="C84" s="287" t="str">
        <f>CSA!BW45</f>
        <v>No specific RMMs identified beyond those OCs stated</v>
      </c>
    </row>
    <row r="85" spans="1:3" ht="52.5">
      <c r="A85" s="285" t="str">
        <f>CSA!D46&amp;"--"&amp;CSA!E46</f>
        <v>PC18_n: Ink and toners--Inks and toners.</v>
      </c>
      <c r="B85" s="286" t="s">
        <v>280</v>
      </c>
      <c r="C85" s="287" t="str">
        <f>CSA!BV46</f>
        <v>Unless otherwise stated, covers concentrations up to 10% [ConsOC1]; covers use up to 364 days/year[ConsOC3]; covers use up to 1 time/on day of use[ConsOC4]; covers skin contact area up to 71,40 cm2 [ConsOC5]; for each use event, covers use amounts up to 40g [ConsOC2]; covers use under typical household ventilation [ConsOC8]; covers use in room size of 20m3[ConsOC11]; for each use event, covers exposure up to 2,20hr/event[ConsOC14]; </v>
      </c>
    </row>
    <row r="86" spans="1:3" ht="12.75">
      <c r="A86" s="145"/>
      <c r="B86" s="286" t="s">
        <v>281</v>
      </c>
      <c r="C86" s="287" t="str">
        <f>CSA!BW46</f>
        <v>No specific RMMs identified beyond those OCs stated</v>
      </c>
    </row>
    <row r="87" spans="1:3" ht="52.5">
      <c r="A87" s="285" t="str">
        <f>CSA!D47&amp;"--"&amp;CSA!E47</f>
        <v>PC23_n: Leather tanning, dye, finishing, impregnation and care products--Polishes, wax / cream (floor, furniture, shoes)</v>
      </c>
      <c r="B87" s="286" t="s">
        <v>280</v>
      </c>
      <c r="C87" s="287" t="str">
        <f>CSA!BV47</f>
        <v>Unless otherwise stated, covers concentrations up to 50% [ConsOC1]; covers use up to 51 days/year[ConsOC3]; covers use up to 1 time/on day of use[ConsOC4]; covers skin contact area up to 430,00 cm2 [ConsOC5]; for each use event, covers use amounts up to 56g [ConsOC2]; covers use under typical household ventilation [ConsOC8]; covers use in room size of 20m3[ConsOC11]; for each use event, covers exposure up to 1,23hr/event[ConsOC14]; </v>
      </c>
    </row>
    <row r="88" spans="1:5" s="262" customFormat="1" ht="12.75">
      <c r="A88" s="145"/>
      <c r="B88" s="286" t="s">
        <v>281</v>
      </c>
      <c r="C88" s="287" t="str">
        <f>CSA!BW47</f>
        <v>No specific RMMs identified beyond those OCs stated</v>
      </c>
      <c r="E88" s="77"/>
    </row>
    <row r="89" spans="1:5" s="262" customFormat="1" ht="52.5">
      <c r="A89" s="285" t="str">
        <f>CSA!D48&amp;"--"&amp;CSA!E48</f>
        <v>PC23_n: Leather tanning, dye, finishing, impregnation and care products--Polishes, spray (furniture, shoes)</v>
      </c>
      <c r="B89" s="286" t="s">
        <v>280</v>
      </c>
      <c r="C89" s="287" t="str">
        <f>CSA!BV48</f>
        <v>Unless otherwise stated, covers concentrations up to 50% [ConsOC1]; covers use up to 11 days/year[ConsOC3]; covers use up to 1 time/on day of use[ConsOC4]; covers skin contact area up to 430,00 cm2 [ConsOC5]; for each use event, covers use amounts up to 56g [ConsOC2]; covers use under typical household ventilation [ConsOC8]; covers use in room size of 20m3[ConsOC11]; for each use event, covers exposure up to 0,33hr/event[ConsOC14]; </v>
      </c>
      <c r="E89" s="77"/>
    </row>
    <row r="90" spans="1:3" ht="12.75">
      <c r="A90" s="145"/>
      <c r="B90" s="286" t="s">
        <v>281</v>
      </c>
      <c r="C90" s="287" t="str">
        <f>CSA!BW48</f>
        <v>No specific RMMs identified beyond those OCs stated</v>
      </c>
    </row>
    <row r="91" spans="1:3" ht="52.5">
      <c r="A91" s="285" t="str">
        <f>CSA!D49&amp;"--"&amp;CSA!E49</f>
        <v>PC24: Lubricants, greases, and release products--Liquids</v>
      </c>
      <c r="B91" s="286" t="s">
        <v>280</v>
      </c>
      <c r="C91" s="287" t="str">
        <f>CSA!BV49</f>
        <v>Unless otherwise stated, covers concentrations up to 100% [ConsOC1]; covers use up to 11 days/year[ConsOC3]; covers use up to 1 time/on day of use[ConsOC4]; covers skin contact area up to 468,00 cm2 [ConsOC5]; for each use event, covers use amounts up to 2200g [ConsOC2]; Covers use in a one car garage (34m3) under typcial ventilation [ConsOC10]; covers use in room size of 34m3[ConsOC11]; for each use event, covers exposure up to 0,17hr/event[ConsOC14]; </v>
      </c>
    </row>
    <row r="92" spans="1:4" ht="12.75">
      <c r="A92" s="145"/>
      <c r="B92" s="286" t="s">
        <v>281</v>
      </c>
      <c r="C92" s="287" t="str">
        <f>CSA!BW49</f>
        <v>No specific RMMs identified beyond those OCs stated</v>
      </c>
      <c r="D92" s="263"/>
    </row>
    <row r="93" spans="1:3" ht="39">
      <c r="A93" s="285" t="str">
        <f>CSA!D50&amp;"--"&amp;CSA!E50</f>
        <v>PC24: Lubricants, greases, and release products--Pastes</v>
      </c>
      <c r="B93" s="286" t="s">
        <v>280</v>
      </c>
      <c r="C93" s="287" t="str">
        <f>CSA!BV50</f>
        <v>Unless otherwise stated, covers concentrations up to 20% [ConsOC1]; covers use up to 11 days/year[ConsOC3]; covers use up to 1 time/on day of use[ConsOC4]; covers skin contact area up to 468,00 cm2 [ConsOC5]; for each use event, covers use amounts up to 34g [ConsOC2]; </v>
      </c>
    </row>
    <row r="94" spans="1:3" ht="12.75">
      <c r="A94" s="145"/>
      <c r="B94" s="286" t="s">
        <v>281</v>
      </c>
      <c r="C94" s="287" t="str">
        <f>CSA!BW50</f>
        <v>No specific RMMs identified beyond those OCs stated</v>
      </c>
    </row>
    <row r="95" spans="1:3" ht="52.5">
      <c r="A95" s="285" t="str">
        <f>CSA!D51&amp;"--"&amp;CSA!E51</f>
        <v>PC24: Lubricants, greases, and release products--Sprays</v>
      </c>
      <c r="B95" s="286" t="s">
        <v>280</v>
      </c>
      <c r="C95" s="287" t="str">
        <f>CSA!BV51</f>
        <v>Unless otherwise stated, covers concentrations up to 50% [ConsOC1]; covers use up to 11 days/year[ConsOC3]; covers use up to 1 time/on day of use[ConsOC4]; covers skin contact area up to 428,75 cm2 [ConsOC5]; for each use event, covers use amounts up to 73g [ConsOC2]; covers use under typical household ventilation [ConsOC8]; covers use in room size of 20m3[ConsOC11]; for each use event, covers exposure up to 0,17hr/event[ConsOC14]; </v>
      </c>
    </row>
    <row r="96" spans="1:3" ht="12.75">
      <c r="A96" s="145"/>
      <c r="B96" s="286" t="s">
        <v>281</v>
      </c>
      <c r="C96" s="287" t="str">
        <f>CSA!BW51</f>
        <v>No specific RMMs identified beyond those OCs stated</v>
      </c>
    </row>
    <row r="97" spans="1:3" ht="39">
      <c r="A97" s="285" t="str">
        <f>CSA!D52&amp;"--"&amp;CSA!E52</f>
        <v>PC27_n: Plant protection products--</v>
      </c>
      <c r="B97" s="286" t="s">
        <v>280</v>
      </c>
      <c r="C97" s="287" t="str">
        <f>CSA!BV52</f>
        <v>Unless otherwise stated, covers concentrations up to 50% [ConsOC1]; covers use up to 364 days/year[ConsOC3]; covers use up to 1 time/on day of use[ConsOC4]; covers skin contact area up to 857,50 cm2 [ConsOC5]; for each use event, assumes swallowed amount of 0,3g [ConsOC13]; </v>
      </c>
    </row>
    <row r="98" spans="1:5" s="262" customFormat="1" ht="12.75">
      <c r="A98" s="145"/>
      <c r="B98" s="286" t="s">
        <v>281</v>
      </c>
      <c r="C98" s="287" t="str">
        <f>CSA!BW52</f>
        <v>Avoid using at a product concentration greater than 10% [ConsRMM1]; </v>
      </c>
      <c r="E98" s="77"/>
    </row>
    <row r="99" spans="1:5" s="262" customFormat="1" ht="52.5">
      <c r="A99" s="285" t="str">
        <f>CSA!D53&amp;"--"&amp;CSA!E53</f>
        <v>PC31:Polishes and wax blends--Polishes, wax / cream (floor, furniture, shoes)</v>
      </c>
      <c r="B99" s="286" t="s">
        <v>280</v>
      </c>
      <c r="C99" s="287" t="str">
        <f>CSA!BV53</f>
        <v>Unless otherwise stated, covers concentrations up to 50% [ConsOC1]; covers use up to 51 days/year[ConsOC3]; covers use up to 1 time/on day of use[ConsOC4]; covers skin contact area up to 430,00 cm2 [ConsOC5]; for each use event, covers use amounts up to 142g [ConsOC2]; covers use under typical household ventilation [ConsOC8]; covers use in room size of 20m3[ConsOC11]; for each use event, covers exposure up to 1,23hr/event[ConsOC14]; </v>
      </c>
      <c r="E99" s="77"/>
    </row>
    <row r="100" spans="1:3" ht="12.75">
      <c r="A100" s="145"/>
      <c r="B100" s="286" t="s">
        <v>281</v>
      </c>
      <c r="C100" s="287" t="str">
        <f>CSA!BW53</f>
        <v>No specific RMMs identified beyond those OCs stated</v>
      </c>
    </row>
    <row r="101" spans="1:3" ht="52.5">
      <c r="A101" s="285" t="str">
        <f>CSA!D54&amp;"--"&amp;CSA!E54</f>
        <v>PC31:Polishes and wax blends--Polishes, spray (furniture, shoes)</v>
      </c>
      <c r="B101" s="286" t="s">
        <v>280</v>
      </c>
      <c r="C101" s="287" t="str">
        <f>CSA!BV54</f>
        <v>Unless otherwise stated, covers concentrations up to 50% [ConsOC1]; covers use up to 11 days/year[ConsOC3]; covers use up to 1 time/on day of use[ConsOC4]; covers skin contact area up to 430,00 cm2 [ConsOC5]; for each use event, covers use amounts up to 35g [ConsOC2]; covers use under typical household ventilation [ConsOC8]; covers use in room size of 20m3[ConsOC11]; for each use event, covers exposure up to 0,33hr/event[ConsOC14]; </v>
      </c>
    </row>
    <row r="102" spans="1:4" ht="12.75">
      <c r="A102" s="145"/>
      <c r="B102" s="286" t="s">
        <v>281</v>
      </c>
      <c r="C102" s="287" t="str">
        <f>CSA!BW54</f>
        <v>No specific RMMs identified beyond those OCs stated</v>
      </c>
      <c r="D102" s="263"/>
    </row>
    <row r="103" spans="1:4" ht="52.5">
      <c r="A103" s="285" t="str">
        <f>CSA!D55&amp;"--"&amp;CSA!E55</f>
        <v>PC34_n: Textile dyes, finishing and impregnating products--</v>
      </c>
      <c r="B103" s="286" t="s">
        <v>280</v>
      </c>
      <c r="C103" s="287" t="str">
        <f>CSA!BV55</f>
        <v>Unless otherwise stated, covers concentrations up to 10% [ConsOC1]; covers use up to 364 days/year[ConsOC3]; covers use up to 1 time/on day of use[ConsOC4]; covers skin contact area up to 857,50 cm2 [ConsOC5]; for each use event, covers use amounts up to 115g [ConsOC2]; covers use under typical household ventilation [ConsOC8]; covers use in room size of 20m3[ConsOC11]; for each use event, covers exposure up to 1,00hr/event[ConsOC14]; </v>
      </c>
      <c r="D103" s="263"/>
    </row>
    <row r="104" spans="1:3" ht="12.75">
      <c r="A104" s="145"/>
      <c r="B104" s="286" t="s">
        <v>281</v>
      </c>
      <c r="C104" s="287" t="str">
        <f>CSA!BW55</f>
        <v>No specific RMMs identified beyond those OCs stated</v>
      </c>
    </row>
    <row r="105" spans="1:3" ht="52.5">
      <c r="A105" s="285" t="str">
        <f>CSA!D56&amp;"--"&amp;CSA!E56</f>
        <v>PC35:Washing and cleaning products (including solvent based products)--Laundry and dish washing products</v>
      </c>
      <c r="B105" s="286" t="s">
        <v>280</v>
      </c>
      <c r="C105" s="287" t="str">
        <f>CSA!BV56</f>
        <v>Unless otherwise stated, covers concentrations up to 5% [ConsOC1]; covers use up to 364 days/year[ConsOC3]; covers use up to 1 time/on day of use[ConsOC4]; covers skin contact area up to 857,50 cm2 [ConsOC5]; for each use event, covers use amounts up to 15g [ConsOC2]; covers use under typical household ventilation [ConsOC8]; covers use in room size of 20m3[ConsOC11]; for each use event, covers exposure up to 0,50hr/event[ConsOC14]; </v>
      </c>
    </row>
    <row r="106" spans="1:3" ht="12.75">
      <c r="A106" s="145"/>
      <c r="B106" s="286" t="s">
        <v>281</v>
      </c>
      <c r="C106" s="287" t="str">
        <f>CSA!BW56</f>
        <v>No specific RMMs identified beyond those OCs stated</v>
      </c>
    </row>
    <row r="107" spans="1:3" ht="66">
      <c r="A107" s="285" t="str">
        <f>CSA!D57&amp;"--"&amp;CSA!E57</f>
        <v>PC35:Washing and cleaning products (including solvent based products)--Cleaners, liquids (all purpose cleaners, sanitary products, floor cleaners, glass cleaners, carpet cleaners, metal cleaners ) </v>
      </c>
      <c r="B107" s="286" t="s">
        <v>280</v>
      </c>
      <c r="C107" s="287" t="str">
        <f>CSA!BV57</f>
        <v>Unless otherwise stated, covers concentrations up to 5% [ConsOC1]; covers use up to 364 days/year[ConsOC3]; covers use up to 1 time/on day of use[ConsOC4]; covers skin contact area up to 857,50 cm2 [ConsOC5]; for each use event, covers use amounts up to 27g [ConsOC2]; covers use under typical household ventilation [ConsOC8]; covers use in room size of 20m3[ConsOC11]; for each use event, covers exposure up to 0,33hr/event[ConsOC14]; </v>
      </c>
    </row>
    <row r="108" spans="1:3" ht="12.75">
      <c r="A108" s="145"/>
      <c r="B108" s="286" t="s">
        <v>281</v>
      </c>
      <c r="C108" s="287" t="str">
        <f>CSA!BW57</f>
        <v>No specific RMMs identified beyond those OCs stated</v>
      </c>
    </row>
    <row r="109" spans="1:3" ht="52.5">
      <c r="A109" s="285" t="str">
        <f>CSA!D58&amp;"--"&amp;CSA!E58</f>
        <v>PC35:Washing and cleaning products (including solvent based products)--Cleaners, trigger sprays (all purpose cleaners, sanitary products,  glass cleaners) </v>
      </c>
      <c r="B109" s="286" t="s">
        <v>280</v>
      </c>
      <c r="C109" s="287" t="str">
        <f>CSA!BV58</f>
        <v>Unless otherwise stated, covers concentrations up to 15% [ConsOC1]; covers use up to 364 days/year[ConsOC3]; covers use up to 1 time/on day of use[ConsOC4]; covers skin contact area up to 428,00 cm2 [ConsOC5]; for each use event, covers use amounts up to 35g [ConsOC2]; covers use under typical household ventilation [ConsOC8]; covers use in room size of 20m3[ConsOC11]; for each use event, covers exposure up to 0,17hr/event[ConsOC14]; </v>
      </c>
    </row>
    <row r="110" spans="1:3" ht="12.75">
      <c r="A110" s="145"/>
      <c r="B110" s="286" t="s">
        <v>281</v>
      </c>
      <c r="C110" s="287" t="str">
        <f>CSA!BW58</f>
        <v>No specific RMMs identified beyond those OCs stated</v>
      </c>
    </row>
    <row r="111" spans="1:3" ht="39">
      <c r="A111" s="285" t="str">
        <f>CSA!D59&amp;"--"&amp;CSA!E59</f>
        <v>PC36_n: Water softners--</v>
      </c>
      <c r="B111" s="286" t="s">
        <v>280</v>
      </c>
      <c r="C111" s="287" t="str">
        <f>CSA!BV59</f>
        <v>Unless otherwise stated, covers concentrations up to 20% [ConsOC1]; covers use up to 364 days/year[ConsOC3]; covers use up to 1 time/on day of use[ConsOC4]; covers skin contact area up to 6.600,00 cm2 [ConsOC5]; for each use event, assumes swallowed amount of 0,000015g [ConsOC13]; for each use event, covers use amounts up to 10g [ConsOC2]; </v>
      </c>
    </row>
    <row r="112" spans="1:3" ht="12.75">
      <c r="A112" s="145"/>
      <c r="B112" s="286" t="s">
        <v>281</v>
      </c>
      <c r="C112" s="287" t="str">
        <f>CSA!BW59</f>
        <v>No specific RMMs identified beyond those OCs stated</v>
      </c>
    </row>
    <row r="113" spans="1:3" ht="39">
      <c r="A113" s="285" t="str">
        <f>CSA!D60&amp;"--"&amp;CSA!E60</f>
        <v>PC37_n: Water treatment chemicals--</v>
      </c>
      <c r="B113" s="286" t="s">
        <v>280</v>
      </c>
      <c r="C113" s="287" t="str">
        <f>CSA!BV60</f>
        <v>Unless otherwise stated, covers concentrations up to 20% [ConsOC1]; covers use up to 364 days/year[ConsOC3]; covers use up to 1 time/on day of use[ConsOC4]; covers skin contact area up to 6.600,00 cm2 [ConsOC5]; for each use event, assumes swallowed amount of 0,000154g [ConsOC13]; for each use event, covers use amounts up to 10g [ConsOC2]; </v>
      </c>
    </row>
    <row r="114" spans="1:3" ht="12.75">
      <c r="A114" s="145"/>
      <c r="B114" s="286" t="s">
        <v>281</v>
      </c>
      <c r="C114" s="287" t="str">
        <f>CSA!BW60</f>
        <v>No specific RMMs identified beyond those OCs stated</v>
      </c>
    </row>
    <row r="115" spans="1:3" ht="52.5">
      <c r="A115" s="285" t="str">
        <f>CSA!D61&amp;"--"&amp;CSA!E61</f>
        <v>PC38_n: Welding and soldering products, flux products--</v>
      </c>
      <c r="B115" s="286" t="s">
        <v>280</v>
      </c>
      <c r="C115" s="287" t="str">
        <f>CSA!BV61</f>
        <v>Unless otherwise stated, covers concentrations up to 20% [ConsOC1]; covers use up to 364 days/year[ConsOC3]; covers use up to 1 time/on day of use[ConsOC4]; for each use event, covers use amounts up to 12g [ConsOC2]; covers use under typical household ventilation [ConsOC8]; covers use in room size of 20m3[ConsOC11]; for each use event, covers exposure up to 1,00hr/event[ConsOC14]; </v>
      </c>
    </row>
    <row r="116" spans="1:3" ht="13.5" thickBot="1">
      <c r="A116" s="288"/>
      <c r="B116" s="289" t="s">
        <v>281</v>
      </c>
      <c r="C116" s="290" t="str">
        <f>CSA!BW61</f>
        <v>No specific RMMs identified beyond those OCs stated</v>
      </c>
    </row>
    <row r="117" spans="1:2" ht="12.75">
      <c r="A117" s="77"/>
      <c r="B117" s="77"/>
    </row>
    <row r="118" spans="1:3" ht="12" customHeight="1">
      <c r="A118" s="77"/>
      <c r="B118" s="77"/>
      <c r="C118" s="77"/>
    </row>
    <row r="119" spans="1:3" ht="12.75">
      <c r="A119" s="77"/>
      <c r="B119" s="77"/>
      <c r="C119" s="77"/>
    </row>
    <row r="120" spans="1:3" ht="12.75">
      <c r="A120" s="77"/>
      <c r="B120" s="77"/>
      <c r="C120" s="77"/>
    </row>
    <row r="121" spans="1:3" ht="12.75">
      <c r="A121" s="77"/>
      <c r="B121" s="77"/>
      <c r="C121" s="77"/>
    </row>
    <row r="122" spans="1:3" ht="12.75">
      <c r="A122" s="77"/>
      <c r="B122" s="77"/>
      <c r="C122" s="77"/>
    </row>
    <row r="123" spans="1:3" ht="12.75">
      <c r="A123" s="77"/>
      <c r="B123" s="77"/>
      <c r="C123" s="77"/>
    </row>
    <row r="124" spans="1:3" ht="12.75">
      <c r="A124" s="77"/>
      <c r="B124" s="77"/>
      <c r="C124" s="77"/>
    </row>
    <row r="125" spans="1:3" ht="12.75">
      <c r="A125" s="77"/>
      <c r="B125" s="77"/>
      <c r="C125" s="77"/>
    </row>
    <row r="126" spans="1:3" ht="12.75">
      <c r="A126" s="77"/>
      <c r="B126" s="77"/>
      <c r="C126" s="77"/>
    </row>
  </sheetData>
  <sheetProtection password="8EB8" sheet="1" formatColumns="0" formatRows="0" sort="0" autoFilter="0" pivotTables="0"/>
  <printOptions/>
  <pageMargins left="0.75" right="0.75" top="1" bottom="1" header="0.5" footer="0.5"/>
  <pageSetup fitToHeight="1" fitToWidth="1" horizontalDpi="600" verticalDpi="600" orientation="portrait" paperSize="9" scale="19" r:id="rId1"/>
  <headerFooter alignWithMargins="0">
    <oddHeader>&amp;C&amp;F</oddHeader>
    <oddFooter>&amp;C&amp;A</oddFooter>
  </headerFooter>
</worksheet>
</file>

<file path=xl/worksheets/sheet7.xml><?xml version="1.0" encoding="utf-8"?>
<worksheet xmlns="http://schemas.openxmlformats.org/spreadsheetml/2006/main" xmlns:r="http://schemas.openxmlformats.org/officeDocument/2006/relationships">
  <sheetPr codeName="Sheet8"/>
  <dimension ref="A2:B28"/>
  <sheetViews>
    <sheetView zoomScale="85" zoomScaleNormal="85" zoomScalePageLayoutView="0" workbookViewId="0" topLeftCell="A1">
      <selection activeCell="A20" sqref="A20:A22"/>
    </sheetView>
  </sheetViews>
  <sheetFormatPr defaultColWidth="9.140625" defaultRowHeight="12.75"/>
  <cols>
    <col min="1" max="1" width="92.140625" style="0" customWidth="1"/>
  </cols>
  <sheetData>
    <row r="2" ht="12.75">
      <c r="A2" s="4" t="s">
        <v>349</v>
      </c>
    </row>
    <row r="3" ht="12.75">
      <c r="A3" t="s">
        <v>350</v>
      </c>
    </row>
    <row r="4" ht="12.75">
      <c r="A4" t="s">
        <v>351</v>
      </c>
    </row>
    <row r="5" ht="12.75">
      <c r="A5" t="s">
        <v>352</v>
      </c>
    </row>
    <row r="6" ht="12.75">
      <c r="A6" t="s">
        <v>353</v>
      </c>
    </row>
    <row r="7" ht="12.75">
      <c r="A7" t="s">
        <v>354</v>
      </c>
    </row>
    <row r="8" ht="12.75">
      <c r="A8" t="s">
        <v>355</v>
      </c>
    </row>
    <row r="9" ht="12.75">
      <c r="A9" t="s">
        <v>356</v>
      </c>
    </row>
    <row r="10" ht="12.75">
      <c r="A10" t="s">
        <v>357</v>
      </c>
    </row>
    <row r="11" ht="12.75">
      <c r="A11" s="11" t="s">
        <v>597</v>
      </c>
    </row>
    <row r="12" ht="12.75">
      <c r="A12" s="11" t="s">
        <v>598</v>
      </c>
    </row>
    <row r="13" ht="12.75">
      <c r="A13" s="11" t="s">
        <v>599</v>
      </c>
    </row>
    <row r="14" ht="12.75">
      <c r="A14" s="11" t="s">
        <v>600</v>
      </c>
    </row>
    <row r="15" ht="12.75">
      <c r="A15" s="3"/>
    </row>
    <row r="16" ht="12.75">
      <c r="A16" s="4" t="s">
        <v>358</v>
      </c>
    </row>
    <row r="17" ht="26.25">
      <c r="A17" s="23" t="s">
        <v>359</v>
      </c>
    </row>
    <row r="18" ht="12.75">
      <c r="A18" t="s">
        <v>360</v>
      </c>
    </row>
    <row r="19" ht="78.75">
      <c r="A19" s="23" t="s">
        <v>57</v>
      </c>
    </row>
    <row r="20" ht="12.75">
      <c r="A20" s="23" t="s">
        <v>361</v>
      </c>
    </row>
    <row r="21" ht="26.25">
      <c r="A21" s="23" t="s">
        <v>362</v>
      </c>
    </row>
    <row r="22" ht="26.25">
      <c r="A22" s="23" t="s">
        <v>363</v>
      </c>
    </row>
    <row r="23" ht="26.25">
      <c r="A23" s="23" t="s">
        <v>589</v>
      </c>
    </row>
    <row r="24" spans="1:2" ht="12.75">
      <c r="A24" t="s">
        <v>364</v>
      </c>
      <c r="B24" s="11"/>
    </row>
    <row r="25" ht="12.75">
      <c r="A25" s="23" t="s">
        <v>365</v>
      </c>
    </row>
    <row r="26" ht="12.75">
      <c r="A26" s="23" t="s">
        <v>366</v>
      </c>
    </row>
    <row r="27" ht="26.25">
      <c r="A27" s="23" t="s">
        <v>367</v>
      </c>
    </row>
    <row r="28" ht="39">
      <c r="A28" s="23" t="s">
        <v>368</v>
      </c>
    </row>
  </sheetData>
  <sheetProtection password="8EB8" sheet="1"/>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1"/>
  <dimension ref="B2:M14"/>
  <sheetViews>
    <sheetView showGridLines="0" zoomScale="115" zoomScaleNormal="115" zoomScalePageLayoutView="0" workbookViewId="0" topLeftCell="A1">
      <selection activeCell="E13" sqref="E13:G13"/>
    </sheetView>
  </sheetViews>
  <sheetFormatPr defaultColWidth="9.140625" defaultRowHeight="12.75"/>
  <cols>
    <col min="1" max="1" width="4.8515625" style="26" customWidth="1"/>
    <col min="2" max="2" width="6.8515625" style="26" customWidth="1"/>
    <col min="3" max="12" width="9.140625" style="26" customWidth="1"/>
    <col min="13" max="13" width="7.28125" style="26" customWidth="1"/>
    <col min="14" max="16384" width="9.140625" style="26" customWidth="1"/>
  </cols>
  <sheetData>
    <row r="2" ht="15" thickBot="1">
      <c r="B2" s="25" t="s">
        <v>297</v>
      </c>
    </row>
    <row r="3" spans="2:13" ht="14.25">
      <c r="B3" s="27"/>
      <c r="C3" s="28"/>
      <c r="D3" s="28"/>
      <c r="E3" s="28"/>
      <c r="F3" s="28"/>
      <c r="G3" s="28"/>
      <c r="H3" s="28"/>
      <c r="I3" s="28"/>
      <c r="J3" s="28"/>
      <c r="K3" s="28"/>
      <c r="L3" s="28"/>
      <c r="M3" s="29"/>
    </row>
    <row r="4" spans="2:13" ht="14.25">
      <c r="B4" s="30"/>
      <c r="C4" s="54" t="s">
        <v>555</v>
      </c>
      <c r="D4" s="40"/>
      <c r="E4" s="40"/>
      <c r="F4" s="31"/>
      <c r="G4" s="54" t="s">
        <v>556</v>
      </c>
      <c r="H4" s="40"/>
      <c r="I4" s="40"/>
      <c r="J4" s="40"/>
      <c r="K4" s="40"/>
      <c r="L4" s="40"/>
      <c r="M4" s="32"/>
    </row>
    <row r="5" spans="2:13" ht="14.25">
      <c r="B5" s="30"/>
      <c r="C5" s="36" t="s">
        <v>298</v>
      </c>
      <c r="D5" s="31"/>
      <c r="E5" s="37"/>
      <c r="F5" s="31"/>
      <c r="G5" s="36" t="s">
        <v>298</v>
      </c>
      <c r="H5" s="31"/>
      <c r="I5" s="31"/>
      <c r="J5" s="31"/>
      <c r="K5" s="31"/>
      <c r="L5" s="37"/>
      <c r="M5" s="32"/>
    </row>
    <row r="6" spans="2:13" ht="14.25">
      <c r="B6" s="30"/>
      <c r="C6" s="36" t="s">
        <v>300</v>
      </c>
      <c r="D6" s="31"/>
      <c r="E6" s="37"/>
      <c r="F6" s="31"/>
      <c r="G6" s="38" t="s">
        <v>301</v>
      </c>
      <c r="H6" s="31"/>
      <c r="I6" s="31"/>
      <c r="J6" s="31"/>
      <c r="K6" s="31"/>
      <c r="L6" s="37"/>
      <c r="M6" s="32"/>
    </row>
    <row r="7" spans="2:13" ht="14.25">
      <c r="B7" s="30"/>
      <c r="C7" s="59" t="s">
        <v>296</v>
      </c>
      <c r="D7" s="31"/>
      <c r="E7" s="37"/>
      <c r="F7" s="31"/>
      <c r="G7" s="38" t="s">
        <v>302</v>
      </c>
      <c r="H7" s="31"/>
      <c r="I7" s="31"/>
      <c r="J7" s="31"/>
      <c r="K7" s="31"/>
      <c r="L7" s="37"/>
      <c r="M7" s="32"/>
    </row>
    <row r="8" spans="2:13" ht="14.25">
      <c r="B8" s="30"/>
      <c r="C8" s="39" t="s">
        <v>299</v>
      </c>
      <c r="D8" s="40"/>
      <c r="E8" s="41"/>
      <c r="F8" s="31"/>
      <c r="G8" s="39" t="s">
        <v>299</v>
      </c>
      <c r="H8" s="40"/>
      <c r="I8" s="40"/>
      <c r="J8" s="40"/>
      <c r="K8" s="40"/>
      <c r="L8" s="41"/>
      <c r="M8" s="32"/>
    </row>
    <row r="9" spans="2:13" ht="14.25">
      <c r="B9" s="30"/>
      <c r="C9" s="31"/>
      <c r="D9" s="31"/>
      <c r="E9" s="31"/>
      <c r="F9" s="31"/>
      <c r="G9" s="31"/>
      <c r="H9" s="31"/>
      <c r="I9" s="31"/>
      <c r="J9" s="31"/>
      <c r="K9" s="31"/>
      <c r="L9" s="31"/>
      <c r="M9" s="32"/>
    </row>
    <row r="10" spans="2:13" ht="14.25">
      <c r="B10" s="30"/>
      <c r="C10" s="31"/>
      <c r="D10" s="31"/>
      <c r="E10" s="31"/>
      <c r="F10" s="31"/>
      <c r="G10" s="42" t="s">
        <v>557</v>
      </c>
      <c r="H10" s="31"/>
      <c r="I10" s="31"/>
      <c r="J10" s="31"/>
      <c r="K10" s="31"/>
      <c r="L10" s="31"/>
      <c r="M10" s="32"/>
    </row>
    <row r="11" spans="2:13" ht="14.25">
      <c r="B11" s="30"/>
      <c r="C11" s="31"/>
      <c r="D11" s="31"/>
      <c r="E11" s="31"/>
      <c r="F11" s="31"/>
      <c r="G11" s="31"/>
      <c r="H11" s="31"/>
      <c r="I11" s="31"/>
      <c r="J11" s="31"/>
      <c r="K11" s="31"/>
      <c r="L11" s="31"/>
      <c r="M11" s="32"/>
    </row>
    <row r="12" spans="2:13" ht="14.25">
      <c r="B12" s="30"/>
      <c r="C12" s="31"/>
      <c r="D12" s="31"/>
      <c r="E12" s="42" t="s">
        <v>558</v>
      </c>
      <c r="F12" s="31"/>
      <c r="G12" s="31"/>
      <c r="H12" s="31"/>
      <c r="I12" s="31"/>
      <c r="J12" s="31"/>
      <c r="K12" s="31"/>
      <c r="L12" s="31"/>
      <c r="M12" s="32"/>
    </row>
    <row r="13" spans="2:13" ht="66" customHeight="1">
      <c r="B13" s="30"/>
      <c r="C13" s="31"/>
      <c r="D13" s="43"/>
      <c r="E13" s="706" t="s">
        <v>3</v>
      </c>
      <c r="F13" s="707"/>
      <c r="G13" s="708"/>
      <c r="H13" s="31"/>
      <c r="I13" s="31"/>
      <c r="J13" s="31"/>
      <c r="K13" s="31"/>
      <c r="L13" s="31"/>
      <c r="M13" s="32"/>
    </row>
    <row r="14" spans="2:13" ht="15" thickBot="1">
      <c r="B14" s="44"/>
      <c r="C14" s="45"/>
      <c r="D14" s="45"/>
      <c r="E14" s="45"/>
      <c r="F14" s="45"/>
      <c r="G14" s="45"/>
      <c r="H14" s="45"/>
      <c r="I14" s="45"/>
      <c r="J14" s="45"/>
      <c r="K14" s="45"/>
      <c r="L14" s="45"/>
      <c r="M14" s="46"/>
    </row>
  </sheetData>
  <sheetProtection password="8EB8" sheet="1"/>
  <mergeCells count="1">
    <mergeCell ref="E13:G13"/>
  </mergeCells>
  <printOptions/>
  <pageMargins left="0.7" right="0.7" top="0.75" bottom="0.75" header="0.3" footer="0.3"/>
  <pageSetup horizontalDpi="600" verticalDpi="600" orientation="landscape" r:id="rId2"/>
  <drawing r:id="rId1"/>
</worksheet>
</file>

<file path=xl/worksheets/sheet9.xml><?xml version="1.0" encoding="utf-8"?>
<worksheet xmlns="http://schemas.openxmlformats.org/spreadsheetml/2006/main" xmlns:r="http://schemas.openxmlformats.org/officeDocument/2006/relationships">
  <sheetPr codeName="Sheet12"/>
  <dimension ref="B2:P35"/>
  <sheetViews>
    <sheetView showGridLines="0" zoomScalePageLayoutView="0" workbookViewId="0" topLeftCell="A1">
      <selection activeCell="L26" sqref="L26"/>
    </sheetView>
  </sheetViews>
  <sheetFormatPr defaultColWidth="9.140625" defaultRowHeight="12.75"/>
  <cols>
    <col min="1" max="1" width="5.7109375" style="26" customWidth="1"/>
    <col min="2" max="2" width="4.8515625" style="26" customWidth="1"/>
    <col min="3" max="3" width="9.140625" style="26" customWidth="1"/>
    <col min="4" max="4" width="10.8515625" style="26" customWidth="1"/>
    <col min="5" max="5" width="9.140625" style="26" customWidth="1"/>
    <col min="6" max="6" width="11.00390625" style="26" customWidth="1"/>
    <col min="7" max="7" width="10.421875" style="26" customWidth="1"/>
    <col min="8" max="8" width="7.57421875" style="26" customWidth="1"/>
    <col min="9" max="10" width="10.7109375" style="26" customWidth="1"/>
    <col min="11" max="11" width="12.00390625" style="26" customWidth="1"/>
    <col min="12" max="13" width="9.140625" style="26" customWidth="1"/>
    <col min="14" max="15" width="13.28125" style="26" customWidth="1"/>
    <col min="16" max="16" width="5.57421875" style="26" customWidth="1"/>
    <col min="17" max="17" width="7.00390625" style="26" customWidth="1"/>
    <col min="18" max="16384" width="9.140625" style="26" customWidth="1"/>
  </cols>
  <sheetData>
    <row r="2" ht="15" thickBot="1">
      <c r="B2" s="25" t="s">
        <v>303</v>
      </c>
    </row>
    <row r="3" spans="2:16" ht="14.25">
      <c r="B3" s="27"/>
      <c r="C3" s="28"/>
      <c r="D3" s="28"/>
      <c r="E3" s="28"/>
      <c r="F3" s="28"/>
      <c r="G3" s="28"/>
      <c r="H3" s="28"/>
      <c r="I3" s="28"/>
      <c r="J3" s="28"/>
      <c r="K3" s="28"/>
      <c r="L3" s="28"/>
      <c r="M3" s="28"/>
      <c r="N3" s="28"/>
      <c r="O3" s="28"/>
      <c r="P3" s="29"/>
    </row>
    <row r="4" spans="2:16" ht="14.25">
      <c r="B4" s="30"/>
      <c r="C4" s="31"/>
      <c r="D4" s="47" t="s">
        <v>538</v>
      </c>
      <c r="E4" s="613" t="s">
        <v>658</v>
      </c>
      <c r="F4" s="31"/>
      <c r="G4" s="31"/>
      <c r="H4" s="31"/>
      <c r="K4" s="31"/>
      <c r="L4" s="31"/>
      <c r="M4" s="31"/>
      <c r="N4" s="31"/>
      <c r="O4" s="31"/>
      <c r="P4" s="32"/>
    </row>
    <row r="5" spans="2:16" ht="14.25">
      <c r="B5" s="30"/>
      <c r="C5" s="31"/>
      <c r="D5" s="48" t="s">
        <v>304</v>
      </c>
      <c r="E5" s="31"/>
      <c r="F5" s="49" t="s">
        <v>305</v>
      </c>
      <c r="G5" s="50"/>
      <c r="H5" s="51"/>
      <c r="K5" s="31"/>
      <c r="L5" s="31"/>
      <c r="M5" s="31"/>
      <c r="N5" s="31"/>
      <c r="O5" s="31"/>
      <c r="P5" s="32"/>
    </row>
    <row r="6" spans="2:16" ht="14.25">
      <c r="B6" s="30"/>
      <c r="C6" s="31"/>
      <c r="D6" s="52" t="s">
        <v>559</v>
      </c>
      <c r="E6" s="31"/>
      <c r="F6" s="31"/>
      <c r="G6" s="31"/>
      <c r="H6" s="31"/>
      <c r="K6" s="31"/>
      <c r="L6" s="31"/>
      <c r="M6" s="31"/>
      <c r="N6" s="31"/>
      <c r="O6" s="31"/>
      <c r="P6" s="32"/>
    </row>
    <row r="7" spans="2:16" ht="14.25">
      <c r="B7" s="30"/>
      <c r="C7" s="31"/>
      <c r="D7" s="31"/>
      <c r="E7" s="31"/>
      <c r="F7" s="31"/>
      <c r="G7" s="31"/>
      <c r="H7" s="31"/>
      <c r="K7" s="31"/>
      <c r="L7" s="31"/>
      <c r="M7" s="31"/>
      <c r="N7" s="31"/>
      <c r="O7" s="31"/>
      <c r="P7" s="32"/>
    </row>
    <row r="8" spans="2:16" ht="14.25">
      <c r="B8" s="30"/>
      <c r="C8" s="31"/>
      <c r="D8" s="31"/>
      <c r="E8" s="53" t="s">
        <v>659</v>
      </c>
      <c r="G8" s="31"/>
      <c r="H8" s="31"/>
      <c r="K8" s="31"/>
      <c r="P8" s="32"/>
    </row>
    <row r="9" spans="2:16" ht="14.25">
      <c r="B9" s="30"/>
      <c r="C9" s="31"/>
      <c r="D9" s="31"/>
      <c r="E9" s="31" t="s">
        <v>573</v>
      </c>
      <c r="F9" s="31"/>
      <c r="G9" s="31"/>
      <c r="H9" s="31"/>
      <c r="K9" s="31"/>
      <c r="P9" s="32"/>
    </row>
    <row r="10" spans="2:16" ht="14.25">
      <c r="B10" s="30"/>
      <c r="C10" s="42" t="s">
        <v>306</v>
      </c>
      <c r="D10" s="31"/>
      <c r="E10" s="31"/>
      <c r="F10" s="31"/>
      <c r="G10" s="42"/>
      <c r="H10" s="31"/>
      <c r="I10" s="31"/>
      <c r="J10" s="31"/>
      <c r="K10" s="31"/>
      <c r="P10" s="32"/>
    </row>
    <row r="11" spans="2:16" ht="14.25">
      <c r="B11" s="30"/>
      <c r="C11" s="66"/>
      <c r="D11" s="67" t="s">
        <v>307</v>
      </c>
      <c r="E11" s="67" t="s">
        <v>308</v>
      </c>
      <c r="F11" s="68" t="s">
        <v>309</v>
      </c>
      <c r="K11" s="42" t="s">
        <v>608</v>
      </c>
      <c r="L11" s="31"/>
      <c r="M11" s="31"/>
      <c r="N11" s="31"/>
      <c r="O11" s="31"/>
      <c r="P11" s="32"/>
    </row>
    <row r="12" spans="2:16" ht="14.25">
      <c r="B12" s="30"/>
      <c r="C12" s="59" t="s">
        <v>310</v>
      </c>
      <c r="D12" s="69" t="s">
        <v>311</v>
      </c>
      <c r="E12" s="69" t="s">
        <v>311</v>
      </c>
      <c r="F12" s="70" t="s">
        <v>311</v>
      </c>
      <c r="H12" s="42" t="s">
        <v>572</v>
      </c>
      <c r="I12" s="31"/>
      <c r="K12" s="55"/>
      <c r="L12" s="34"/>
      <c r="M12" s="34" t="s">
        <v>457</v>
      </c>
      <c r="N12" s="35" t="s">
        <v>131</v>
      </c>
      <c r="O12" s="31"/>
      <c r="P12" s="32"/>
    </row>
    <row r="13" spans="2:16" ht="14.25">
      <c r="B13" s="30"/>
      <c r="C13" s="59" t="s">
        <v>313</v>
      </c>
      <c r="D13" s="69" t="s">
        <v>311</v>
      </c>
      <c r="E13" s="69" t="s">
        <v>311</v>
      </c>
      <c r="F13" s="71" t="s">
        <v>394</v>
      </c>
      <c r="H13" s="55" t="s">
        <v>312</v>
      </c>
      <c r="I13" s="35"/>
      <c r="J13" s="42" t="s">
        <v>317</v>
      </c>
      <c r="K13" s="36" t="s">
        <v>320</v>
      </c>
      <c r="L13" s="31"/>
      <c r="M13" s="31" t="s">
        <v>123</v>
      </c>
      <c r="N13" s="37" t="s">
        <v>127</v>
      </c>
      <c r="O13" s="31"/>
      <c r="P13" s="32"/>
    </row>
    <row r="14" spans="2:16" ht="14.25">
      <c r="B14" s="30"/>
      <c r="C14" s="59" t="s">
        <v>315</v>
      </c>
      <c r="D14" s="69" t="s">
        <v>311</v>
      </c>
      <c r="E14" s="72" t="s">
        <v>394</v>
      </c>
      <c r="F14" s="70" t="s">
        <v>311</v>
      </c>
      <c r="H14" s="36" t="s">
        <v>314</v>
      </c>
      <c r="I14" s="37"/>
      <c r="K14" s="36" t="s">
        <v>321</v>
      </c>
      <c r="L14" s="31"/>
      <c r="M14" s="31" t="s">
        <v>124</v>
      </c>
      <c r="N14" s="37" t="s">
        <v>128</v>
      </c>
      <c r="O14" s="31"/>
      <c r="P14" s="32"/>
    </row>
    <row r="15" spans="2:16" ht="14.25">
      <c r="B15" s="30"/>
      <c r="C15" s="59" t="s">
        <v>49</v>
      </c>
      <c r="D15" s="72" t="s">
        <v>394</v>
      </c>
      <c r="E15" s="72" t="s">
        <v>394</v>
      </c>
      <c r="F15" s="70" t="s">
        <v>311</v>
      </c>
      <c r="H15" s="39" t="s">
        <v>316</v>
      </c>
      <c r="I15" s="41"/>
      <c r="K15" s="36" t="s">
        <v>132</v>
      </c>
      <c r="L15" s="31"/>
      <c r="M15" s="31" t="s">
        <v>125</v>
      </c>
      <c r="N15" s="37" t="s">
        <v>129</v>
      </c>
      <c r="O15" s="31"/>
      <c r="P15" s="32"/>
    </row>
    <row r="16" spans="2:16" ht="14.25">
      <c r="B16" s="30"/>
      <c r="C16" s="59" t="s">
        <v>50</v>
      </c>
      <c r="D16" s="69" t="s">
        <v>311</v>
      </c>
      <c r="E16" s="72" t="s">
        <v>394</v>
      </c>
      <c r="F16" s="71" t="s">
        <v>394</v>
      </c>
      <c r="K16" s="39" t="s">
        <v>323</v>
      </c>
      <c r="L16" s="40"/>
      <c r="M16" s="40" t="s">
        <v>126</v>
      </c>
      <c r="N16" s="41" t="s">
        <v>130</v>
      </c>
      <c r="O16" s="31"/>
      <c r="P16" s="32"/>
    </row>
    <row r="17" spans="2:16" ht="14.25">
      <c r="B17" s="30"/>
      <c r="C17" s="59" t="s">
        <v>51</v>
      </c>
      <c r="D17" s="72" t="s">
        <v>394</v>
      </c>
      <c r="E17" s="72" t="s">
        <v>394</v>
      </c>
      <c r="F17" s="71" t="s">
        <v>394</v>
      </c>
      <c r="I17" s="25" t="s">
        <v>609</v>
      </c>
      <c r="K17" s="31"/>
      <c r="L17" s="31"/>
      <c r="M17" s="31"/>
      <c r="N17" s="31"/>
      <c r="O17" s="31"/>
      <c r="P17" s="32"/>
    </row>
    <row r="18" spans="2:16" ht="14.25">
      <c r="B18" s="30"/>
      <c r="C18" s="59" t="s">
        <v>53</v>
      </c>
      <c r="D18" s="72" t="s">
        <v>394</v>
      </c>
      <c r="E18" s="69" t="s">
        <v>311</v>
      </c>
      <c r="F18" s="70" t="s">
        <v>311</v>
      </c>
      <c r="G18" s="567"/>
      <c r="H18" s="72"/>
      <c r="I18" s="709" t="s">
        <v>560</v>
      </c>
      <c r="J18" s="710"/>
      <c r="K18" s="711"/>
      <c r="P18" s="32"/>
    </row>
    <row r="19" spans="2:16" ht="14.25">
      <c r="B19" s="30"/>
      <c r="C19" s="73" t="s">
        <v>54</v>
      </c>
      <c r="D19" s="74" t="s">
        <v>394</v>
      </c>
      <c r="E19" s="75" t="s">
        <v>311</v>
      </c>
      <c r="F19" s="76" t="s">
        <v>394</v>
      </c>
      <c r="G19" s="567"/>
      <c r="H19" s="72"/>
      <c r="I19" s="712" t="s">
        <v>561</v>
      </c>
      <c r="J19" s="713"/>
      <c r="K19" s="714"/>
      <c r="P19" s="32"/>
    </row>
    <row r="20" spans="2:16" ht="14.25">
      <c r="B20" s="30"/>
      <c r="C20" s="31"/>
      <c r="D20" s="31"/>
      <c r="E20" s="31"/>
      <c r="F20" s="31"/>
      <c r="I20" s="715" t="s">
        <v>562</v>
      </c>
      <c r="J20" s="716"/>
      <c r="K20" s="717"/>
      <c r="P20" s="32"/>
    </row>
    <row r="21" spans="2:16" ht="14.25">
      <c r="B21" s="30"/>
      <c r="C21" s="31"/>
      <c r="D21" s="31"/>
      <c r="E21" s="31"/>
      <c r="F21" s="31"/>
      <c r="J21" s="568"/>
      <c r="K21" s="31"/>
      <c r="P21" s="32"/>
    </row>
    <row r="22" spans="2:16" ht="14.25">
      <c r="B22" s="30"/>
      <c r="C22" s="54" t="s">
        <v>563</v>
      </c>
      <c r="D22" s="40"/>
      <c r="E22" s="40"/>
      <c r="F22" s="40"/>
      <c r="G22" s="31"/>
      <c r="H22" s="42" t="s">
        <v>611</v>
      </c>
      <c r="I22" s="31"/>
      <c r="J22" s="31"/>
      <c r="K22" s="31"/>
      <c r="L22" s="42" t="s">
        <v>610</v>
      </c>
      <c r="M22" s="31"/>
      <c r="N22" s="31"/>
      <c r="O22" s="31"/>
      <c r="P22" s="32"/>
    </row>
    <row r="23" spans="2:16" ht="14.25">
      <c r="B23" s="30"/>
      <c r="C23" s="56" t="s">
        <v>318</v>
      </c>
      <c r="D23" s="31"/>
      <c r="E23" s="31"/>
      <c r="F23" s="37"/>
      <c r="G23" s="31"/>
      <c r="H23" s="33" t="s">
        <v>613</v>
      </c>
      <c r="I23" s="34"/>
      <c r="J23" s="35"/>
      <c r="K23" s="31"/>
      <c r="L23" s="55" t="s">
        <v>310</v>
      </c>
      <c r="M23" s="34" t="s">
        <v>564</v>
      </c>
      <c r="N23" s="34"/>
      <c r="O23" s="35"/>
      <c r="P23" s="32"/>
    </row>
    <row r="24" spans="2:16" ht="14.25">
      <c r="B24" s="30"/>
      <c r="C24" s="36" t="s">
        <v>298</v>
      </c>
      <c r="D24" s="31"/>
      <c r="E24" s="31"/>
      <c r="F24" s="37"/>
      <c r="G24" s="31"/>
      <c r="H24" s="36" t="s">
        <v>298</v>
      </c>
      <c r="I24" s="31"/>
      <c r="J24" s="37"/>
      <c r="K24" s="31"/>
      <c r="L24" s="36" t="s">
        <v>313</v>
      </c>
      <c r="M24" s="31" t="s">
        <v>565</v>
      </c>
      <c r="N24" s="31"/>
      <c r="O24" s="37"/>
      <c r="P24" s="32"/>
    </row>
    <row r="25" spans="2:16" ht="14.25">
      <c r="B25" s="30"/>
      <c r="C25" s="38" t="s">
        <v>319</v>
      </c>
      <c r="D25" s="31"/>
      <c r="E25" s="31"/>
      <c r="F25" s="37"/>
      <c r="G25" s="31"/>
      <c r="H25" s="36" t="s">
        <v>300</v>
      </c>
      <c r="I25" s="31"/>
      <c r="J25" s="37"/>
      <c r="K25" s="31"/>
      <c r="L25" s="36" t="s">
        <v>315</v>
      </c>
      <c r="M25" s="31" t="s">
        <v>566</v>
      </c>
      <c r="N25" s="31"/>
      <c r="O25" s="37"/>
      <c r="P25" s="32"/>
    </row>
    <row r="26" spans="2:16" ht="14.25">
      <c r="B26" s="30"/>
      <c r="C26" s="36" t="s">
        <v>324</v>
      </c>
      <c r="D26" s="31"/>
      <c r="E26" s="31"/>
      <c r="F26" s="37"/>
      <c r="G26" s="31"/>
      <c r="H26" s="36"/>
      <c r="I26" s="31"/>
      <c r="J26" s="37"/>
      <c r="K26" s="31"/>
      <c r="L26" s="36" t="s">
        <v>49</v>
      </c>
      <c r="M26" s="31" t="s">
        <v>567</v>
      </c>
      <c r="N26" s="31"/>
      <c r="O26" s="37"/>
      <c r="P26" s="32"/>
    </row>
    <row r="27" spans="2:16" ht="14.25">
      <c r="B27" s="30"/>
      <c r="C27" s="38" t="s">
        <v>322</v>
      </c>
      <c r="D27" s="31"/>
      <c r="E27" s="31"/>
      <c r="F27" s="37"/>
      <c r="G27" s="31"/>
      <c r="H27" s="59" t="s">
        <v>296</v>
      </c>
      <c r="I27" s="31"/>
      <c r="J27" s="37"/>
      <c r="K27" s="31"/>
      <c r="L27" s="36" t="s">
        <v>50</v>
      </c>
      <c r="M27" s="31" t="s">
        <v>568</v>
      </c>
      <c r="N27" s="31"/>
      <c r="O27" s="37"/>
      <c r="P27" s="32"/>
    </row>
    <row r="28" spans="2:16" ht="14.25">
      <c r="B28" s="30"/>
      <c r="C28" s="36" t="s">
        <v>325</v>
      </c>
      <c r="D28" s="31"/>
      <c r="E28" s="31"/>
      <c r="F28" s="37"/>
      <c r="G28" s="31"/>
      <c r="H28" s="36"/>
      <c r="I28" s="31"/>
      <c r="J28" s="37"/>
      <c r="K28" s="31"/>
      <c r="L28" s="36" t="s">
        <v>51</v>
      </c>
      <c r="M28" s="31" t="s">
        <v>52</v>
      </c>
      <c r="N28" s="31"/>
      <c r="O28" s="37"/>
      <c r="P28" s="32"/>
    </row>
    <row r="29" spans="2:16" ht="14.25">
      <c r="B29" s="30"/>
      <c r="C29" s="39" t="s">
        <v>299</v>
      </c>
      <c r="D29" s="40"/>
      <c r="E29" s="40"/>
      <c r="F29" s="41"/>
      <c r="G29" s="31"/>
      <c r="H29" s="39" t="s">
        <v>299</v>
      </c>
      <c r="I29" s="40"/>
      <c r="J29" s="41"/>
      <c r="K29" s="31"/>
      <c r="L29" s="36" t="s">
        <v>53</v>
      </c>
      <c r="M29" s="31" t="s">
        <v>569</v>
      </c>
      <c r="N29" s="31"/>
      <c r="O29" s="37"/>
      <c r="P29" s="32"/>
    </row>
    <row r="30" spans="2:16" ht="14.25">
      <c r="B30" s="30"/>
      <c r="C30" s="31"/>
      <c r="D30" s="31"/>
      <c r="E30" s="31"/>
      <c r="F30" s="31"/>
      <c r="G30" s="31"/>
      <c r="H30" s="31"/>
      <c r="I30" s="31"/>
      <c r="J30" s="31"/>
      <c r="K30" s="31"/>
      <c r="L30" s="39" t="s">
        <v>54</v>
      </c>
      <c r="M30" s="40" t="s">
        <v>570</v>
      </c>
      <c r="N30" s="40"/>
      <c r="O30" s="41"/>
      <c r="P30" s="32"/>
    </row>
    <row r="31" spans="2:16" ht="14.25">
      <c r="B31" s="30"/>
      <c r="C31" s="31"/>
      <c r="D31" s="31"/>
      <c r="E31" s="31"/>
      <c r="F31" s="31"/>
      <c r="G31" s="31"/>
      <c r="H31" s="42" t="s">
        <v>612</v>
      </c>
      <c r="J31" s="31"/>
      <c r="K31" s="31"/>
      <c r="O31" s="31"/>
      <c r="P31" s="32"/>
    </row>
    <row r="32" spans="2:16" ht="18.75" customHeight="1">
      <c r="B32" s="30"/>
      <c r="C32" s="31"/>
      <c r="D32" s="31"/>
      <c r="E32" s="31"/>
      <c r="F32" s="42" t="s">
        <v>571</v>
      </c>
      <c r="G32" s="31"/>
      <c r="I32" s="31"/>
      <c r="J32" s="31"/>
      <c r="K32" s="31"/>
      <c r="P32" s="32"/>
    </row>
    <row r="33" spans="2:16" ht="78.75" customHeight="1">
      <c r="B33" s="30"/>
      <c r="C33" s="31"/>
      <c r="D33" s="31"/>
      <c r="E33" s="31"/>
      <c r="F33" s="706" t="s">
        <v>326</v>
      </c>
      <c r="G33" s="718"/>
      <c r="H33" s="719"/>
      <c r="I33" s="31"/>
      <c r="J33" s="31"/>
      <c r="K33" s="31"/>
      <c r="L33" s="31"/>
      <c r="M33" s="31"/>
      <c r="N33" s="31"/>
      <c r="O33" s="57"/>
      <c r="P33" s="32"/>
    </row>
    <row r="34" spans="2:16" ht="15" thickBot="1">
      <c r="B34" s="44"/>
      <c r="C34" s="45"/>
      <c r="D34" s="45"/>
      <c r="E34" s="45"/>
      <c r="F34" s="45"/>
      <c r="G34" s="45"/>
      <c r="H34" s="45"/>
      <c r="I34" s="45"/>
      <c r="J34" s="45"/>
      <c r="K34" s="45"/>
      <c r="L34" s="45"/>
      <c r="M34" s="45"/>
      <c r="N34" s="45"/>
      <c r="O34" s="58"/>
      <c r="P34" s="46"/>
    </row>
    <row r="35" spans="7:13" ht="14.25">
      <c r="G35" s="31"/>
      <c r="L35" s="31"/>
      <c r="M35" s="31"/>
    </row>
  </sheetData>
  <sheetProtection password="8EB8" sheet="1"/>
  <mergeCells count="4">
    <mergeCell ref="I18:K18"/>
    <mergeCell ref="I19:K19"/>
    <mergeCell ref="I20:K20"/>
    <mergeCell ref="F33:H33"/>
  </mergeCells>
  <printOptions/>
  <pageMargins left="0.7" right="0.7" top="0.75" bottom="0.75" header="0.3" footer="0.3"/>
  <pageSetup horizontalDpi="600" verticalDpi="600" orientation="landscape" scale="8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Qian, Hua</dc:creator>
  <cp:keywords/>
  <dc:description/>
  <cp:lastModifiedBy>awh</cp:lastModifiedBy>
  <dcterms:created xsi:type="dcterms:W3CDTF">2013-04-23T19:15:04Z</dcterms:created>
  <dcterms:modified xsi:type="dcterms:W3CDTF">2015-12-09T09:08:09Z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849848575</vt:i4>
  </property>
  <property fmtid="{D5CDD505-2E9C-101B-9397-08002B2CF9AE}" pid="3" name="_NewReviewCycle">
    <vt:lpwstr/>
  </property>
  <property fmtid="{D5CDD505-2E9C-101B-9397-08002B2CF9AE}" pid="4" name="_EmailSubject">
    <vt:lpwstr>final version of EGRET 2 individual workbooks</vt:lpwstr>
  </property>
  <property fmtid="{D5CDD505-2E9C-101B-9397-08002B2CF9AE}" pid="5" name="_AuthorEmail">
    <vt:lpwstr>hua.qian@exxonmobil.com</vt:lpwstr>
  </property>
  <property fmtid="{D5CDD505-2E9C-101B-9397-08002B2CF9AE}" pid="6" name="_AuthorEmailDisplayName">
    <vt:lpwstr>Qian, Hua</vt:lpwstr>
  </property>
  <property fmtid="{D5CDD505-2E9C-101B-9397-08002B2CF9AE}" pid="7" name="_ReviewingToolsShownOnce">
    <vt:lpwstr/>
  </property>
</Properties>
</file>